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ktenplan Abteilung Standesamt\750 Friedhofsverwaltung\752 Friedhöfe\752-70 Privatwirtschaftliche Betätigung auf Friedhöfen\Anträge sowie TA Grabmal, BIV Richtlinie\"/>
    </mc:Choice>
  </mc:AlternateContent>
  <bookViews>
    <workbookView xWindow="-15" yWindow="-15" windowWidth="14190" windowHeight="13170"/>
  </bookViews>
  <sheets>
    <sheet name="Grabstein+Sockel" sheetId="2" r:id="rId1"/>
    <sheet name="Einfassung" sheetId="3" r:id="rId2"/>
    <sheet name="Fundament" sheetId="5" r:id="rId3"/>
    <sheet name="Bedenken" sheetId="1" r:id="rId4"/>
    <sheet name="Zusammenfassung" sheetId="10" r:id="rId5"/>
    <sheet name="Lizenznehmer" sheetId="9" r:id="rId6"/>
  </sheets>
  <calcPr calcId="152511"/>
</workbook>
</file>

<file path=xl/calcChain.xml><?xml version="1.0" encoding="utf-8"?>
<calcChain xmlns="http://schemas.openxmlformats.org/spreadsheetml/2006/main">
  <c r="A98" i="9" l="1"/>
  <c r="J101" i="9"/>
  <c r="F2" i="5" s="1"/>
  <c r="J100" i="9"/>
  <c r="G1" i="1" s="1"/>
  <c r="G178" i="5"/>
  <c r="J1" i="10" l="1"/>
  <c r="F1" i="5"/>
  <c r="G1" i="2"/>
  <c r="J2" i="10"/>
  <c r="G2" i="3"/>
  <c r="G2" i="2"/>
  <c r="G2" i="1"/>
  <c r="G1" i="3"/>
  <c r="F204" i="5"/>
  <c r="D204" i="5"/>
  <c r="F212" i="5"/>
  <c r="D184" i="5"/>
  <c r="D183" i="5"/>
  <c r="F184" i="5"/>
  <c r="D191" i="5"/>
  <c r="D167" i="5"/>
  <c r="E173" i="5"/>
  <c r="D4" i="5"/>
  <c r="D165" i="5" s="1"/>
  <c r="D201" i="5"/>
  <c r="D200" i="5"/>
  <c r="D199" i="5"/>
  <c r="D196" i="5"/>
  <c r="E201" i="5"/>
  <c r="E200" i="5"/>
  <c r="E199" i="5"/>
  <c r="D189" i="5" l="1"/>
  <c r="D111" i="5"/>
  <c r="E202" i="5"/>
  <c r="F202" i="5" s="1"/>
  <c r="E180" i="5" l="1"/>
  <c r="E179" i="5"/>
  <c r="E177" i="5"/>
  <c r="C209" i="5" s="1"/>
  <c r="E176" i="5"/>
  <c r="E175" i="5"/>
  <c r="D168" i="5"/>
  <c r="E181" i="5" l="1"/>
  <c r="F181" i="5" s="1"/>
  <c r="F163" i="5" l="1"/>
  <c r="F162" i="5"/>
  <c r="B163" i="5"/>
  <c r="B162" i="5"/>
  <c r="P14" i="10"/>
  <c r="O9" i="10"/>
  <c r="B2" i="10"/>
  <c r="B1" i="10"/>
  <c r="H29" i="10"/>
  <c r="H28" i="10"/>
  <c r="K27" i="10"/>
  <c r="H26" i="10"/>
  <c r="H24" i="10"/>
  <c r="A24" i="10"/>
  <c r="H23" i="10"/>
  <c r="A23" i="10"/>
  <c r="H22" i="10"/>
  <c r="I15" i="10"/>
  <c r="C15" i="10"/>
  <c r="Q22" i="10" l="1"/>
  <c r="N22" i="10"/>
  <c r="A36" i="10"/>
  <c r="H31" i="10"/>
  <c r="D113" i="5"/>
  <c r="C156" i="5"/>
  <c r="F52" i="5"/>
  <c r="D60" i="5"/>
  <c r="E72" i="5"/>
  <c r="E71" i="5"/>
  <c r="E70" i="5"/>
  <c r="E69" i="5"/>
  <c r="E66" i="5"/>
  <c r="E65" i="5"/>
  <c r="E64" i="5"/>
  <c r="E63" i="5"/>
  <c r="F106" i="5"/>
  <c r="F158" i="5" s="1"/>
  <c r="D112" i="5" l="1"/>
  <c r="H62" i="2"/>
  <c r="H90" i="2"/>
  <c r="R83" i="2"/>
  <c r="T83" i="2" s="1"/>
  <c r="H85" i="2"/>
  <c r="H73" i="2"/>
  <c r="R71" i="2"/>
  <c r="T71" i="2" s="1"/>
  <c r="R60" i="2"/>
  <c r="T60" i="2" s="1"/>
  <c r="J94" i="2"/>
  <c r="J88" i="2"/>
  <c r="J78" i="2"/>
  <c r="J66" i="2"/>
  <c r="J35" i="1"/>
  <c r="A3" i="1"/>
  <c r="D57" i="5"/>
  <c r="K30" i="5"/>
  <c r="K27" i="5"/>
  <c r="T36" i="5"/>
  <c r="E30" i="5" l="1"/>
  <c r="AC10" i="5" l="1"/>
  <c r="AA11" i="5" l="1"/>
  <c r="AA10" i="5"/>
  <c r="L49" i="3" l="1"/>
  <c r="K42" i="3"/>
  <c r="K41" i="3"/>
  <c r="K40" i="3"/>
  <c r="F38" i="3"/>
  <c r="K24" i="3"/>
  <c r="K23" i="3"/>
  <c r="K22" i="3"/>
  <c r="K15" i="3"/>
  <c r="K14" i="3"/>
  <c r="K13" i="3"/>
  <c r="K9" i="3"/>
  <c r="K8" i="3"/>
  <c r="K7" i="3"/>
  <c r="N45" i="3"/>
  <c r="H46" i="3" s="1"/>
  <c r="AF19" i="3"/>
  <c r="O48" i="3" l="1"/>
  <c r="O47" i="3"/>
  <c r="O46" i="3"/>
  <c r="O45" i="3"/>
  <c r="H103" i="2"/>
  <c r="T88" i="2"/>
  <c r="B31" i="2"/>
  <c r="I91" i="2"/>
  <c r="I90" i="2"/>
  <c r="I86" i="2"/>
  <c r="I85" i="2"/>
  <c r="I82" i="2"/>
  <c r="Q25" i="2"/>
  <c r="Q21" i="2"/>
  <c r="Q17" i="2"/>
  <c r="L17" i="2" s="1"/>
  <c r="T85" i="2"/>
  <c r="L75" i="2"/>
  <c r="F77" i="2" s="1"/>
  <c r="T73" i="2"/>
  <c r="T62" i="2"/>
  <c r="L82" i="2"/>
  <c r="T84" i="2" s="1"/>
  <c r="L59" i="2"/>
  <c r="T61" i="2" s="1"/>
  <c r="L70" i="2"/>
  <c r="T72" i="2" s="1"/>
  <c r="O49" i="3" l="1"/>
  <c r="K49" i="3" s="1"/>
  <c r="L21" i="2"/>
  <c r="S31" i="2"/>
  <c r="U31" i="2" s="1"/>
  <c r="L23" i="2"/>
  <c r="L19" i="2"/>
  <c r="L15" i="2"/>
  <c r="N16" i="2" s="1"/>
  <c r="L4" i="2"/>
  <c r="S24" i="2"/>
  <c r="U24" i="2" s="1"/>
  <c r="S20" i="2"/>
  <c r="U20" i="2" s="1"/>
  <c r="S16" i="2"/>
  <c r="U16" i="2" s="1"/>
  <c r="H54" i="3"/>
  <c r="G50" i="2"/>
  <c r="G103" i="2" s="1"/>
  <c r="D36" i="3"/>
  <c r="F42" i="3" s="1"/>
  <c r="D5" i="3"/>
  <c r="F22" i="3" s="1"/>
  <c r="D24" i="5"/>
  <c r="E31" i="5" s="1"/>
  <c r="AN28" i="5" s="1"/>
  <c r="S42" i="1" s="1"/>
  <c r="D6" i="5"/>
  <c r="D31" i="2"/>
  <c r="D30" i="2"/>
  <c r="B3" i="1" s="1"/>
  <c r="B98" i="9"/>
  <c r="F3" i="1"/>
  <c r="C98" i="9"/>
  <c r="B2" i="5"/>
  <c r="B1" i="5"/>
  <c r="B2" i="3"/>
  <c r="B1" i="3"/>
  <c r="G53" i="2"/>
  <c r="B2" i="2"/>
  <c r="B53" i="2" s="1"/>
  <c r="G52" i="2"/>
  <c r="B1" i="2"/>
  <c r="B52" i="2" s="1"/>
  <c r="A2" i="1"/>
  <c r="A1" i="1"/>
  <c r="E7" i="1"/>
  <c r="D3" i="1"/>
  <c r="B24" i="2"/>
  <c r="G4" i="1"/>
  <c r="E3" i="1"/>
  <c r="E23" i="2"/>
  <c r="D3" i="2"/>
  <c r="E12" i="5" l="1"/>
  <c r="E13" i="5"/>
  <c r="E9" i="10"/>
  <c r="O8" i="10"/>
  <c r="J19" i="1"/>
  <c r="J4" i="1"/>
  <c r="F54" i="5"/>
  <c r="F108" i="5"/>
  <c r="B55" i="5"/>
  <c r="B109" i="5"/>
  <c r="B54" i="5"/>
  <c r="B108" i="5"/>
  <c r="F55" i="5"/>
  <c r="F109" i="5"/>
  <c r="F27" i="2"/>
  <c r="AU8" i="2" s="1"/>
  <c r="E25" i="2"/>
  <c r="AS7" i="2"/>
  <c r="AW7" i="2" s="1"/>
  <c r="R9" i="1" s="1"/>
  <c r="C8" i="1" s="1"/>
  <c r="J7" i="1"/>
  <c r="I56" i="2"/>
  <c r="E29" i="5"/>
  <c r="F17" i="5"/>
  <c r="E11" i="5"/>
  <c r="D5" i="5"/>
  <c r="L30" i="2"/>
  <c r="L4" i="5"/>
  <c r="E16" i="5"/>
  <c r="AN7" i="5" s="1"/>
  <c r="R42" i="1" s="1"/>
  <c r="D35" i="1"/>
  <c r="L39" i="3"/>
  <c r="O13" i="10" s="1"/>
  <c r="L6" i="3"/>
  <c r="K16" i="2"/>
  <c r="L16" i="2"/>
  <c r="F23" i="2"/>
  <c r="AT8" i="2" s="1"/>
  <c r="N22" i="2"/>
  <c r="AK20" i="2" s="1"/>
  <c r="L55" i="2"/>
  <c r="E24" i="2"/>
  <c r="E26" i="2"/>
  <c r="E22" i="2"/>
  <c r="E21" i="2"/>
  <c r="E20" i="2"/>
  <c r="E18" i="2"/>
  <c r="E17" i="2"/>
  <c r="E16" i="2"/>
  <c r="F19" i="2"/>
  <c r="AS8" i="2" s="1"/>
  <c r="W20" i="2"/>
  <c r="W24" i="2"/>
  <c r="N24" i="2"/>
  <c r="N25" i="2"/>
  <c r="K25" i="2" s="1"/>
  <c r="N26" i="2"/>
  <c r="AK24" i="2" s="1"/>
  <c r="N17" i="2"/>
  <c r="K17" i="2" s="1"/>
  <c r="N21" i="2"/>
  <c r="N20" i="2"/>
  <c r="N18" i="2"/>
  <c r="AK16" i="2" s="1"/>
  <c r="W16" i="2"/>
  <c r="D4" i="3"/>
  <c r="F24" i="3"/>
  <c r="F14" i="3"/>
  <c r="F7" i="3"/>
  <c r="F5" i="3"/>
  <c r="F9" i="3"/>
  <c r="F13" i="3"/>
  <c r="F12" i="3"/>
  <c r="F15" i="3"/>
  <c r="F23" i="3"/>
  <c r="F8" i="3"/>
  <c r="F36" i="3"/>
  <c r="B4" i="1"/>
  <c r="F40" i="3"/>
  <c r="F45" i="3"/>
  <c r="D35" i="3"/>
  <c r="F41" i="3"/>
  <c r="C31" i="2"/>
  <c r="D29" i="2"/>
  <c r="E27" i="5"/>
  <c r="D23" i="5"/>
  <c r="E28" i="5"/>
  <c r="D98" i="9"/>
  <c r="G7" i="1" l="1"/>
  <c r="F209" i="5"/>
  <c r="F49" i="5"/>
  <c r="G51" i="3"/>
  <c r="G47" i="2"/>
  <c r="G100" i="2" s="1"/>
  <c r="AF16" i="2"/>
  <c r="L174" i="5"/>
  <c r="L198" i="5"/>
  <c r="AN165" i="5" s="1"/>
  <c r="I13" i="10"/>
  <c r="C13" i="10"/>
  <c r="F9" i="10"/>
  <c r="O14" i="10"/>
  <c r="C14" i="10" s="1"/>
  <c r="K112" i="5"/>
  <c r="L115" i="5" s="1"/>
  <c r="O12" i="10"/>
  <c r="C9" i="10"/>
  <c r="I9" i="10"/>
  <c r="E32" i="2"/>
  <c r="O10" i="10"/>
  <c r="AK28" i="2"/>
  <c r="G67" i="5" s="1"/>
  <c r="AK27" i="2"/>
  <c r="H29" i="2" s="1"/>
  <c r="C3" i="1" s="1"/>
  <c r="AQ44" i="3"/>
  <c r="R39" i="1" s="1"/>
  <c r="C39" i="1" s="1"/>
  <c r="K113" i="5"/>
  <c r="J27" i="1"/>
  <c r="K58" i="5"/>
  <c r="L62" i="5"/>
  <c r="E73" i="5" s="1"/>
  <c r="AN30" i="5"/>
  <c r="S44" i="1" s="1"/>
  <c r="AN9" i="5"/>
  <c r="R44" i="1" s="1"/>
  <c r="AQ41" i="3"/>
  <c r="R36" i="1" s="1"/>
  <c r="C36" i="1" s="1"/>
  <c r="AQ8" i="3"/>
  <c r="R30" i="1" s="1"/>
  <c r="C30" i="1" s="1"/>
  <c r="AQ9" i="3"/>
  <c r="R31" i="1" s="1"/>
  <c r="C31" i="1" s="1"/>
  <c r="AQ6" i="3"/>
  <c r="R28" i="1" s="1"/>
  <c r="C28" i="1" s="1"/>
  <c r="AS10" i="2"/>
  <c r="AT10" i="2"/>
  <c r="AU10" i="2"/>
  <c r="AW8" i="2"/>
  <c r="R10" i="1" s="1"/>
  <c r="C9" i="1" s="1"/>
  <c r="L26" i="5"/>
  <c r="N27" i="5" s="1"/>
  <c r="U33" i="5" s="1"/>
  <c r="L5" i="5"/>
  <c r="J56" i="2"/>
  <c r="AF57" i="2" s="1"/>
  <c r="AJ57" i="2" s="1"/>
  <c r="R21" i="1" s="1"/>
  <c r="C20" i="1" s="1"/>
  <c r="N33" i="2"/>
  <c r="K33" i="2" s="1"/>
  <c r="J13" i="1"/>
  <c r="N31" i="2"/>
  <c r="K31" i="2" s="1"/>
  <c r="L56" i="2"/>
  <c r="L58" i="2" s="1"/>
  <c r="Q11" i="10" s="1"/>
  <c r="L10" i="5"/>
  <c r="N32" i="2"/>
  <c r="L32" i="2" s="1"/>
  <c r="E31" i="2"/>
  <c r="W31" i="2"/>
  <c r="C34" i="2" s="1"/>
  <c r="E33" i="2"/>
  <c r="N42" i="3"/>
  <c r="N40" i="3"/>
  <c r="N41" i="3"/>
  <c r="B54" i="3"/>
  <c r="D54" i="3" s="1"/>
  <c r="N13" i="3"/>
  <c r="N14" i="3"/>
  <c r="N15" i="3"/>
  <c r="N9" i="3"/>
  <c r="L9" i="3" s="1"/>
  <c r="N7" i="3"/>
  <c r="N8" i="3"/>
  <c r="N24" i="3"/>
  <c r="N22" i="3"/>
  <c r="AD6" i="3" s="1"/>
  <c r="N23" i="3"/>
  <c r="C26" i="2"/>
  <c r="AF20" i="2"/>
  <c r="C27" i="2"/>
  <c r="AF24" i="2"/>
  <c r="K26" i="2"/>
  <c r="L26" i="2"/>
  <c r="L24" i="2"/>
  <c r="K24" i="2"/>
  <c r="L22" i="2"/>
  <c r="K22" i="2"/>
  <c r="K21" i="2"/>
  <c r="L20" i="2"/>
  <c r="K20" i="2"/>
  <c r="L18" i="2"/>
  <c r="K18" i="2"/>
  <c r="L25" i="2"/>
  <c r="C25" i="2"/>
  <c r="G62" i="5" s="1"/>
  <c r="F43" i="3"/>
  <c r="AQ43" i="3" s="1"/>
  <c r="R38" i="1" s="1"/>
  <c r="C38" i="1" s="1"/>
  <c r="B33" i="2"/>
  <c r="C52" i="5"/>
  <c r="E51" i="5" s="1"/>
  <c r="E41" i="1"/>
  <c r="AN164" i="5" l="1"/>
  <c r="AN166" i="5" s="1"/>
  <c r="N178" i="5"/>
  <c r="N201" i="5"/>
  <c r="AG165" i="5" s="1"/>
  <c r="AH165" i="5" s="1"/>
  <c r="N200" i="5"/>
  <c r="N204" i="5"/>
  <c r="N199" i="5"/>
  <c r="D202" i="5"/>
  <c r="E211" i="5" s="1"/>
  <c r="N183" i="5"/>
  <c r="N184" i="5"/>
  <c r="L184" i="5" s="1"/>
  <c r="N180" i="5"/>
  <c r="N175" i="5"/>
  <c r="N177" i="5"/>
  <c r="Q190" i="5" s="1"/>
  <c r="N179" i="5"/>
  <c r="N174" i="5"/>
  <c r="N176" i="5"/>
  <c r="N198" i="5"/>
  <c r="C12" i="10"/>
  <c r="I12" i="10"/>
  <c r="I14" i="10"/>
  <c r="K66" i="2"/>
  <c r="I10" i="10"/>
  <c r="C10" i="10"/>
  <c r="N125" i="5"/>
  <c r="AJ132" i="5" s="1"/>
  <c r="N67" i="5"/>
  <c r="F103" i="5"/>
  <c r="F155" i="5"/>
  <c r="J41" i="1"/>
  <c r="C42" i="1" s="1"/>
  <c r="L40" i="3"/>
  <c r="AC112" i="5"/>
  <c r="L41" i="3"/>
  <c r="AC111" i="5"/>
  <c r="L42" i="3"/>
  <c r="AC113" i="5"/>
  <c r="L33" i="2"/>
  <c r="AD7" i="3"/>
  <c r="G123" i="5"/>
  <c r="N123" i="5" s="1"/>
  <c r="AD8" i="3"/>
  <c r="L13" i="3"/>
  <c r="G120" i="5"/>
  <c r="L7" i="3"/>
  <c r="G121" i="5"/>
  <c r="L8" i="3"/>
  <c r="G118" i="5"/>
  <c r="L14" i="3"/>
  <c r="G122" i="5"/>
  <c r="L15" i="3"/>
  <c r="G119" i="5"/>
  <c r="N119" i="5" s="1"/>
  <c r="K72" i="5"/>
  <c r="AN90" i="5" s="1"/>
  <c r="T42" i="1" s="1"/>
  <c r="V42" i="1" s="1"/>
  <c r="C43" i="1" s="1"/>
  <c r="N63" i="5"/>
  <c r="K63" i="5" s="1"/>
  <c r="N69" i="5"/>
  <c r="N64" i="5"/>
  <c r="L64" i="5" s="1"/>
  <c r="N71" i="5"/>
  <c r="L71" i="5" s="1"/>
  <c r="N66" i="5"/>
  <c r="N70" i="5"/>
  <c r="N65" i="5"/>
  <c r="N28" i="5"/>
  <c r="L28" i="5" s="1"/>
  <c r="N11" i="5"/>
  <c r="AC8" i="5" s="1"/>
  <c r="AW29" i="2"/>
  <c r="R14" i="1" s="1"/>
  <c r="C14" i="1" s="1"/>
  <c r="AW31" i="2"/>
  <c r="R16" i="1" s="1"/>
  <c r="C16" i="1" s="1"/>
  <c r="AW10" i="2"/>
  <c r="R12" i="1" s="1"/>
  <c r="C11" i="1" s="1"/>
  <c r="N29" i="5"/>
  <c r="V33" i="5" s="1"/>
  <c r="N30" i="5"/>
  <c r="W33" i="5" s="1"/>
  <c r="L31" i="2"/>
  <c r="L69" i="2"/>
  <c r="R11" i="10" s="1"/>
  <c r="P11" i="10" s="1"/>
  <c r="N13" i="5"/>
  <c r="L81" i="2"/>
  <c r="S11" i="10" s="1"/>
  <c r="N12" i="5"/>
  <c r="K12" i="5" s="1"/>
  <c r="Y16" i="2"/>
  <c r="Z16" i="2" s="1"/>
  <c r="AD16" i="2" s="1"/>
  <c r="Y24" i="2"/>
  <c r="Z24" i="2" s="1"/>
  <c r="AD24" i="2" s="1"/>
  <c r="AG24" i="2" s="1"/>
  <c r="Y20" i="2"/>
  <c r="Z20" i="2" s="1"/>
  <c r="AD20" i="2" s="1"/>
  <c r="AG20" i="2" s="1"/>
  <c r="L84" i="2"/>
  <c r="F84" i="2" s="1"/>
  <c r="K32" i="2"/>
  <c r="B49" i="2"/>
  <c r="D49" i="2" s="1"/>
  <c r="AD13" i="3"/>
  <c r="L24" i="3"/>
  <c r="L23" i="3"/>
  <c r="L22" i="3"/>
  <c r="K23" i="2"/>
  <c r="AU9" i="2" s="1"/>
  <c r="K19" i="2"/>
  <c r="AT9" i="2" s="1"/>
  <c r="K15" i="2"/>
  <c r="I59" i="2"/>
  <c r="J59" i="2" s="1"/>
  <c r="AF58" i="2" s="1"/>
  <c r="I62" i="2"/>
  <c r="J62" i="2" s="1"/>
  <c r="AF59" i="2" s="1"/>
  <c r="I63" i="2"/>
  <c r="J63" i="2" s="1"/>
  <c r="AF60" i="2" s="1"/>
  <c r="L199" i="5" l="1"/>
  <c r="AL165" i="5"/>
  <c r="AM165" i="5" s="1"/>
  <c r="AO165" i="5" s="1"/>
  <c r="X192" i="5" s="1"/>
  <c r="P189" i="5"/>
  <c r="Q189" i="5"/>
  <c r="P188" i="5"/>
  <c r="Q188" i="5"/>
  <c r="P192" i="5"/>
  <c r="Q192" i="5"/>
  <c r="P193" i="5"/>
  <c r="Q193" i="5"/>
  <c r="P191" i="5"/>
  <c r="AJ164" i="5" s="1"/>
  <c r="Q191" i="5"/>
  <c r="P190" i="5"/>
  <c r="AB164" i="5"/>
  <c r="AG16" i="2"/>
  <c r="AE6" i="2"/>
  <c r="AF6" i="2" s="1"/>
  <c r="AD164" i="5"/>
  <c r="K204" i="5"/>
  <c r="L204" i="5"/>
  <c r="K199" i="5"/>
  <c r="L183" i="5"/>
  <c r="K184" i="5" s="1"/>
  <c r="K183" i="5"/>
  <c r="K180" i="5"/>
  <c r="K175" i="5"/>
  <c r="L175" i="5"/>
  <c r="Q180" i="5"/>
  <c r="L180" i="5" s="1"/>
  <c r="K177" i="5"/>
  <c r="L177" i="5"/>
  <c r="L179" i="5"/>
  <c r="K179" i="5"/>
  <c r="L201" i="5"/>
  <c r="K201" i="5"/>
  <c r="K200" i="5"/>
  <c r="L200" i="5"/>
  <c r="L176" i="5"/>
  <c r="K176" i="5"/>
  <c r="AS9" i="2"/>
  <c r="AW9" i="2" s="1"/>
  <c r="R11" i="1" s="1"/>
  <c r="K78" i="2"/>
  <c r="O11" i="10"/>
  <c r="F11" i="10" s="1"/>
  <c r="G68" i="5"/>
  <c r="N68" i="5" s="1"/>
  <c r="K68" i="5" s="1"/>
  <c r="K39" i="3"/>
  <c r="K119" i="5"/>
  <c r="L119" i="5"/>
  <c r="N121" i="5"/>
  <c r="AJ114" i="5" s="1"/>
  <c r="N118" i="5"/>
  <c r="L123" i="5"/>
  <c r="K123" i="5"/>
  <c r="AJ116" i="5"/>
  <c r="N122" i="5"/>
  <c r="N120" i="5"/>
  <c r="AC114" i="5"/>
  <c r="AC115" i="5" s="1"/>
  <c r="AJ112" i="5"/>
  <c r="AJ123" i="5" s="1"/>
  <c r="K6" i="3"/>
  <c r="K12" i="3"/>
  <c r="AJ59" i="5"/>
  <c r="L66" i="5"/>
  <c r="K66" i="5"/>
  <c r="AJ60" i="5"/>
  <c r="K69" i="5"/>
  <c r="L69" i="5"/>
  <c r="L65" i="5"/>
  <c r="K65" i="5"/>
  <c r="AJ78" i="5"/>
  <c r="L67" i="5"/>
  <c r="K67" i="5"/>
  <c r="AJ61" i="5"/>
  <c r="K70" i="5"/>
  <c r="L70" i="5"/>
  <c r="AJ62" i="5"/>
  <c r="K71" i="5"/>
  <c r="AJ57" i="5"/>
  <c r="K64" i="5"/>
  <c r="AJ58" i="5"/>
  <c r="N73" i="5"/>
  <c r="AJ64" i="5" s="1"/>
  <c r="AJ74" i="5"/>
  <c r="K28" i="5"/>
  <c r="K26" i="5" s="1"/>
  <c r="AN29" i="5" s="1"/>
  <c r="S43" i="1" s="1"/>
  <c r="L11" i="5"/>
  <c r="K11" i="5"/>
  <c r="K13" i="5"/>
  <c r="AC9" i="5"/>
  <c r="AC12" i="5" s="1"/>
  <c r="AC13" i="5" s="1"/>
  <c r="AA8" i="5"/>
  <c r="K21" i="3"/>
  <c r="AD21" i="3"/>
  <c r="AD22" i="3" s="1"/>
  <c r="AF21" i="3" s="1"/>
  <c r="AD12" i="3"/>
  <c r="AF12" i="3" s="1"/>
  <c r="AD17" i="3"/>
  <c r="K94" i="2"/>
  <c r="K30" i="2"/>
  <c r="K88" i="2"/>
  <c r="I70" i="2"/>
  <c r="J70" i="2" s="1"/>
  <c r="AG58" i="2" s="1"/>
  <c r="I74" i="2"/>
  <c r="J74" i="2" s="1"/>
  <c r="AG60" i="2" s="1"/>
  <c r="I73" i="2"/>
  <c r="J73" i="2" s="1"/>
  <c r="AG59" i="2" s="1"/>
  <c r="J91" i="2"/>
  <c r="AI60" i="2" s="1"/>
  <c r="J85" i="2"/>
  <c r="AH59" i="2" s="1"/>
  <c r="J86" i="2"/>
  <c r="AH60" i="2" s="1"/>
  <c r="J90" i="2"/>
  <c r="AI59" i="2" s="1"/>
  <c r="J82" i="2"/>
  <c r="AH58" i="2" s="1"/>
  <c r="L13" i="5"/>
  <c r="W21" i="2"/>
  <c r="Z17" i="2"/>
  <c r="L12" i="5"/>
  <c r="W17" i="2"/>
  <c r="W25" i="2"/>
  <c r="Z25" i="2"/>
  <c r="Z21" i="2"/>
  <c r="Z27" i="2"/>
  <c r="N126" i="5" s="1"/>
  <c r="AF7" i="3"/>
  <c r="AD10" i="3"/>
  <c r="AL164" i="5" l="1"/>
  <c r="AM164" i="5" s="1"/>
  <c r="AO164" i="5" s="1"/>
  <c r="AO166" i="5" s="1"/>
  <c r="AG164" i="5"/>
  <c r="AH164" i="5" s="1"/>
  <c r="AH166" i="5" s="1"/>
  <c r="AD170" i="5" s="1"/>
  <c r="K198" i="5"/>
  <c r="K174" i="5"/>
  <c r="T181" i="5"/>
  <c r="U181" i="5"/>
  <c r="AS165" i="5" s="1"/>
  <c r="C10" i="1"/>
  <c r="N9" i="10"/>
  <c r="AQ42" i="3"/>
  <c r="R37" i="1" s="1"/>
  <c r="AW30" i="2"/>
  <c r="R15" i="1" s="1"/>
  <c r="C15" i="1" s="1"/>
  <c r="C11" i="10"/>
  <c r="I11" i="10"/>
  <c r="C103" i="5"/>
  <c r="AJ131" i="5"/>
  <c r="AD123" i="5"/>
  <c r="AG123" i="5" s="1"/>
  <c r="L118" i="5"/>
  <c r="K118" i="5"/>
  <c r="L120" i="5"/>
  <c r="K120" i="5"/>
  <c r="AJ111" i="5"/>
  <c r="K122" i="5"/>
  <c r="L122" i="5"/>
  <c r="K121" i="5"/>
  <c r="L121" i="5"/>
  <c r="AJ113" i="5"/>
  <c r="G117" i="5"/>
  <c r="N117" i="5" s="1"/>
  <c r="AJ128" i="5" s="1"/>
  <c r="AJ115" i="5"/>
  <c r="K26" i="3"/>
  <c r="K62" i="5"/>
  <c r="AN91" i="5" s="1"/>
  <c r="T43" i="1" s="1"/>
  <c r="D38" i="2"/>
  <c r="G168" i="5" s="1"/>
  <c r="H28" i="2"/>
  <c r="N74" i="5" s="1"/>
  <c r="AJ77" i="5" s="1"/>
  <c r="AD69" i="5"/>
  <c r="AG69" i="5" s="1"/>
  <c r="AJ63" i="5"/>
  <c r="AJ72" i="5" s="1"/>
  <c r="AD76" i="5" s="1"/>
  <c r="AD70" i="5"/>
  <c r="AG70" i="5" s="1"/>
  <c r="AJ69" i="5"/>
  <c r="AJ71" i="5"/>
  <c r="AD71" i="5"/>
  <c r="AG71" i="5" s="1"/>
  <c r="AC11" i="5"/>
  <c r="AC20" i="5"/>
  <c r="AC21" i="5"/>
  <c r="AA9" i="5"/>
  <c r="AF13" i="3"/>
  <c r="AF15" i="3" s="1"/>
  <c r="AD15" i="3" s="1"/>
  <c r="AD16" i="3" s="1"/>
  <c r="AD18" i="3" s="1"/>
  <c r="AD19" i="3" s="1"/>
  <c r="AF20" i="3" s="1"/>
  <c r="AF22" i="3" s="1"/>
  <c r="K35" i="2"/>
  <c r="AJ58" i="2"/>
  <c r="B102" i="2"/>
  <c r="AJ59" i="2"/>
  <c r="R23" i="1" s="1"/>
  <c r="K10" i="5"/>
  <c r="AN8" i="5" s="1"/>
  <c r="R43" i="1" s="1"/>
  <c r="AJ60" i="2"/>
  <c r="R24" i="1" s="1"/>
  <c r="AB20" i="2"/>
  <c r="AH20" i="2" s="1"/>
  <c r="AB16" i="2"/>
  <c r="AB24" i="2"/>
  <c r="C33" i="1"/>
  <c r="C28" i="2"/>
  <c r="X170" i="5" l="1"/>
  <c r="AI20" i="2"/>
  <c r="AJ20" i="2" s="1"/>
  <c r="AD193" i="5"/>
  <c r="AG193" i="5" s="1"/>
  <c r="AI193" i="5" s="1"/>
  <c r="G10" i="5"/>
  <c r="AC5" i="5" s="1"/>
  <c r="AC6" i="5" s="1"/>
  <c r="AC14" i="5" s="1"/>
  <c r="AC15" i="5" s="1"/>
  <c r="G192" i="5"/>
  <c r="P194" i="5"/>
  <c r="AE170" i="5"/>
  <c r="AH170" i="5" s="1"/>
  <c r="AJ170" i="5" s="1"/>
  <c r="AG170" i="5"/>
  <c r="AI170" i="5" s="1"/>
  <c r="AH16" i="2"/>
  <c r="AI16" i="2" s="1"/>
  <c r="AJ16" i="2" s="1"/>
  <c r="G116" i="5"/>
  <c r="N116" i="5" s="1"/>
  <c r="AJ130" i="5" s="1"/>
  <c r="AD129" i="5" s="1"/>
  <c r="AS164" i="5"/>
  <c r="C37" i="1"/>
  <c r="N13" i="10"/>
  <c r="C22" i="1"/>
  <c r="AQ10" i="3"/>
  <c r="R32" i="1" s="1"/>
  <c r="C32" i="1" s="1"/>
  <c r="AQ7" i="3"/>
  <c r="R29" i="1" s="1"/>
  <c r="AN92" i="5"/>
  <c r="T44" i="1" s="1"/>
  <c r="V44" i="1" s="1"/>
  <c r="C45" i="1" s="1"/>
  <c r="E105" i="5"/>
  <c r="AJ125" i="5"/>
  <c r="K115" i="5"/>
  <c r="AN145" i="5" s="1"/>
  <c r="U43" i="1" s="1"/>
  <c r="V43" i="1" s="1"/>
  <c r="AJ117" i="5"/>
  <c r="AJ126" i="5" s="1"/>
  <c r="AD130" i="5" s="1"/>
  <c r="AD125" i="5"/>
  <c r="AG125" i="5" s="1"/>
  <c r="AD124" i="5"/>
  <c r="AG124" i="5" s="1"/>
  <c r="C35" i="2"/>
  <c r="G194" i="5" s="1"/>
  <c r="N62" i="5"/>
  <c r="AJ76" i="5" s="1"/>
  <c r="AD75" i="5" s="1"/>
  <c r="AG72" i="5"/>
  <c r="G74" i="5" s="1"/>
  <c r="AJ70" i="5"/>
  <c r="AD74" i="5" s="1"/>
  <c r="AJ62" i="2"/>
  <c r="D102" i="2" s="1"/>
  <c r="C23" i="1"/>
  <c r="R22" i="1"/>
  <c r="C21" i="1" s="1"/>
  <c r="AB27" i="2"/>
  <c r="H38" i="2" s="1"/>
  <c r="G193" i="5" s="1"/>
  <c r="AH24" i="2"/>
  <c r="G25" i="5" l="1"/>
  <c r="T33" i="5" s="1"/>
  <c r="T34" i="5" s="1"/>
  <c r="T35" i="5" s="1"/>
  <c r="G170" i="5"/>
  <c r="AE5" i="5"/>
  <c r="AE193" i="5"/>
  <c r="AH193" i="5" s="1"/>
  <c r="AJ193" i="5" s="1"/>
  <c r="AI24" i="2"/>
  <c r="AI27" i="2" s="1"/>
  <c r="AC16" i="5"/>
  <c r="AD192" i="5"/>
  <c r="AD169" i="5"/>
  <c r="C41" i="2"/>
  <c r="C18" i="10" s="1"/>
  <c r="G169" i="5"/>
  <c r="C44" i="1"/>
  <c r="C29" i="1"/>
  <c r="N12" i="10"/>
  <c r="K4" i="1"/>
  <c r="B5" i="1" s="1"/>
  <c r="O17" i="10"/>
  <c r="G115" i="5"/>
  <c r="N115" i="5" s="1"/>
  <c r="AJ129" i="5" s="1"/>
  <c r="AD132" i="5" s="1"/>
  <c r="AF132" i="5" s="1"/>
  <c r="AJ124" i="5"/>
  <c r="AD128" i="5" s="1"/>
  <c r="AD131" i="5" s="1"/>
  <c r="AG126" i="5"/>
  <c r="G9" i="5"/>
  <c r="AC4" i="5" s="1"/>
  <c r="AC17" i="5" s="1"/>
  <c r="G8" i="5"/>
  <c r="AC3" i="5" s="1"/>
  <c r="G61" i="5"/>
  <c r="N61" i="5" s="1"/>
  <c r="AJ75" i="5" s="1"/>
  <c r="AD78" i="5" s="1"/>
  <c r="AF78" i="5" s="1"/>
  <c r="G24" i="5"/>
  <c r="AD77" i="5"/>
  <c r="C40" i="2"/>
  <c r="C17" i="10" s="1"/>
  <c r="U34" i="5" l="1"/>
  <c r="U35" i="5"/>
  <c r="K38" i="5" s="1"/>
  <c r="V34" i="5"/>
  <c r="V35" i="5"/>
  <c r="L38" i="5" s="1"/>
  <c r="AC18" i="5"/>
  <c r="AC26" i="5" s="1"/>
  <c r="AJ24" i="2"/>
  <c r="AJ27" i="2" s="1"/>
  <c r="T70" i="2" s="1"/>
  <c r="N73" i="2" s="1"/>
  <c r="L73" i="2" s="1"/>
  <c r="AG192" i="5"/>
  <c r="AI192" i="5" s="1"/>
  <c r="AK192" i="5" s="1"/>
  <c r="AE192" i="5"/>
  <c r="AH192" i="5" s="1"/>
  <c r="AJ192" i="5" s="1"/>
  <c r="AK193" i="5" s="1"/>
  <c r="AG169" i="5"/>
  <c r="AI169" i="5" s="1"/>
  <c r="AK169" i="5" s="1"/>
  <c r="AE169" i="5"/>
  <c r="AH169" i="5" s="1"/>
  <c r="AJ169" i="5" s="1"/>
  <c r="AK170" i="5" s="1"/>
  <c r="AF14" i="5"/>
  <c r="AF134" i="5"/>
  <c r="AD134" i="5"/>
  <c r="AI16" i="5"/>
  <c r="AI20" i="5" s="1"/>
  <c r="AA20" i="5" s="1"/>
  <c r="AF80" i="5"/>
  <c r="AD80" i="5"/>
  <c r="AC28" i="5"/>
  <c r="AC19" i="5" l="1"/>
  <c r="AI21" i="5" s="1"/>
  <c r="T82" i="2"/>
  <c r="N86" i="2" s="1"/>
  <c r="L86" i="2" s="1"/>
  <c r="T59" i="2"/>
  <c r="N62" i="2" s="1"/>
  <c r="L62" i="2" s="1"/>
  <c r="F64" i="2" s="1"/>
  <c r="N74" i="2"/>
  <c r="L74" i="2" s="1"/>
  <c r="F76" i="2" s="1"/>
  <c r="AK194" i="5"/>
  <c r="Y192" i="5" s="1"/>
  <c r="Y170" i="5"/>
  <c r="AR164" i="5"/>
  <c r="AT164" i="5" s="1"/>
  <c r="AK171" i="5"/>
  <c r="K39" i="5"/>
  <c r="L39" i="5" s="1"/>
  <c r="K47" i="5" s="1"/>
  <c r="AA47" i="5" s="1"/>
  <c r="AN31" i="5" s="1"/>
  <c r="S45" i="1" s="1"/>
  <c r="AH134" i="5"/>
  <c r="AC25" i="5"/>
  <c r="AC27" i="5" s="1"/>
  <c r="AE28" i="5" s="1"/>
  <c r="AA28" i="5" s="1"/>
  <c r="AH80" i="5"/>
  <c r="F75" i="2"/>
  <c r="N90" i="2" l="1"/>
  <c r="L90" i="2" s="1"/>
  <c r="F93" i="2" s="1"/>
  <c r="N89" i="2"/>
  <c r="L89" i="2" s="1"/>
  <c r="F92" i="2" s="1"/>
  <c r="C92" i="2" s="1"/>
  <c r="N85" i="2"/>
  <c r="L85" i="2" s="1"/>
  <c r="F88" i="2" s="1"/>
  <c r="H89" i="2" s="1"/>
  <c r="L88" i="2" s="1"/>
  <c r="AH61" i="2" s="1"/>
  <c r="N63" i="2"/>
  <c r="L63" i="2" s="1"/>
  <c r="F65" i="2" s="1"/>
  <c r="L76" i="2"/>
  <c r="F78" i="2" s="1"/>
  <c r="H79" i="2" s="1"/>
  <c r="L78" i="2" s="1"/>
  <c r="AG61" i="2" s="1"/>
  <c r="AR165" i="5"/>
  <c r="AT165" i="5" s="1"/>
  <c r="AT166" i="5" s="1"/>
  <c r="Z170" i="5"/>
  <c r="X171" i="5" s="1"/>
  <c r="Z192" i="5"/>
  <c r="AF141" i="5"/>
  <c r="AN147" i="5"/>
  <c r="U45" i="1" s="1"/>
  <c r="AF87" i="5"/>
  <c r="D101" i="5" s="1"/>
  <c r="AN93" i="5"/>
  <c r="T45" i="1" s="1"/>
  <c r="AA21" i="5"/>
  <c r="AC22" i="5"/>
  <c r="AC23" i="5" s="1"/>
  <c r="AA23" i="5" s="1"/>
  <c r="X172" i="5" l="1"/>
  <c r="K187" i="5" s="1"/>
  <c r="X193" i="5"/>
  <c r="X194" i="5" s="1"/>
  <c r="K207" i="5" s="1"/>
  <c r="L91" i="2"/>
  <c r="F94" i="2" s="1"/>
  <c r="H95" i="2" s="1"/>
  <c r="L94" i="2" s="1"/>
  <c r="AI61" i="2" s="1"/>
  <c r="F87" i="2"/>
  <c r="C87" i="2" s="1"/>
  <c r="C96" i="2" s="1"/>
  <c r="B98" i="2" s="1"/>
  <c r="L64" i="2"/>
  <c r="F66" i="2" s="1"/>
  <c r="H67" i="2" s="1"/>
  <c r="L66" i="2" s="1"/>
  <c r="AF61" i="2" s="1"/>
  <c r="AA30" i="5"/>
  <c r="AJ61" i="2" l="1"/>
  <c r="R26" i="1" s="1"/>
  <c r="C25" i="1" s="1"/>
  <c r="B97" i="2"/>
  <c r="R17" i="1" s="1"/>
  <c r="C17" i="1" s="1"/>
  <c r="K19" i="5"/>
  <c r="AA31" i="5"/>
  <c r="AN10" i="5" s="1"/>
  <c r="R45" i="1" s="1"/>
  <c r="V45" i="1" s="1"/>
  <c r="N14" i="10" s="1"/>
  <c r="AB30" i="5"/>
  <c r="R25" i="1" l="1"/>
  <c r="N11" i="10" s="1"/>
  <c r="N10" i="10"/>
  <c r="C46" i="1"/>
  <c r="C24" i="1" l="1"/>
</calcChain>
</file>

<file path=xl/sharedStrings.xml><?xml version="1.0" encoding="utf-8"?>
<sst xmlns="http://schemas.openxmlformats.org/spreadsheetml/2006/main" count="920" uniqueCount="399">
  <si>
    <t>cm</t>
  </si>
  <si>
    <t>Grabmal betehend aus:</t>
  </si>
  <si>
    <t>Teilen</t>
  </si>
  <si>
    <r>
      <t>Breite B</t>
    </r>
    <r>
      <rPr>
        <vertAlign val="subscript"/>
        <sz val="10"/>
        <rFont val="Arial"/>
        <family val="2"/>
      </rPr>
      <t xml:space="preserve">G = </t>
    </r>
  </si>
  <si>
    <r>
      <t>Höhe H</t>
    </r>
    <r>
      <rPr>
        <vertAlign val="subscript"/>
        <sz val="10"/>
        <rFont val="Arial"/>
        <family val="2"/>
      </rPr>
      <t xml:space="preserve">G = </t>
    </r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</si>
  <si>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</t>
    </r>
  </si>
  <si>
    <r>
      <t>B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</t>
    </r>
  </si>
  <si>
    <r>
      <t>B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</si>
  <si>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= </t>
    </r>
  </si>
  <si>
    <r>
      <t>Breite B</t>
    </r>
    <r>
      <rPr>
        <vertAlign val="subscript"/>
        <sz val="10"/>
        <rFont val="Arial"/>
        <family val="2"/>
      </rPr>
      <t xml:space="preserve">S = </t>
    </r>
  </si>
  <si>
    <r>
      <t>Höhe H</t>
    </r>
    <r>
      <rPr>
        <vertAlign val="subscript"/>
        <sz val="10"/>
        <rFont val="Arial"/>
        <family val="2"/>
      </rPr>
      <t xml:space="preserve">S = </t>
    </r>
  </si>
  <si>
    <t>Kein Grabmal vorhanden</t>
  </si>
  <si>
    <t>daN (kg)</t>
  </si>
  <si>
    <r>
      <t>F</t>
    </r>
    <r>
      <rPr>
        <vertAlign val="subscript"/>
        <sz val="10"/>
        <rFont val="Arial"/>
        <family val="2"/>
      </rPr>
      <t>G1</t>
    </r>
    <r>
      <rPr>
        <sz val="10"/>
        <rFont val="Arial"/>
        <family val="2"/>
      </rPr>
      <t xml:space="preserve"> =</t>
    </r>
  </si>
  <si>
    <r>
      <t>F</t>
    </r>
    <r>
      <rPr>
        <vertAlign val="subscript"/>
        <sz val="10"/>
        <rFont val="Arial"/>
        <family val="2"/>
      </rPr>
      <t>G2</t>
    </r>
    <r>
      <rPr>
        <sz val="10"/>
        <rFont val="Arial"/>
        <family val="2"/>
      </rPr>
      <t xml:space="preserve"> =</t>
    </r>
  </si>
  <si>
    <r>
      <t>F</t>
    </r>
    <r>
      <rPr>
        <vertAlign val="subscript"/>
        <sz val="10"/>
        <rFont val="Arial"/>
        <family val="2"/>
      </rPr>
      <t>G3</t>
    </r>
    <r>
      <rPr>
        <sz val="10"/>
        <rFont val="Arial"/>
        <family val="2"/>
      </rPr>
      <t xml:space="preserve"> =</t>
    </r>
  </si>
  <si>
    <r>
      <t>F</t>
    </r>
    <r>
      <rPr>
        <vertAlign val="subscript"/>
        <sz val="10"/>
        <rFont val="Arial"/>
        <family val="2"/>
      </rPr>
      <t>gesamt</t>
    </r>
    <r>
      <rPr>
        <sz val="10"/>
        <rFont val="Arial"/>
        <family val="2"/>
      </rPr>
      <t xml:space="preserve"> =</t>
    </r>
  </si>
  <si>
    <t>Eingabe unvollständig</t>
  </si>
  <si>
    <t>Sockel vorhanden</t>
  </si>
  <si>
    <t>Kein Sockel vorhanden</t>
  </si>
  <si>
    <r>
      <t>F</t>
    </r>
    <r>
      <rPr>
        <vertAlign val="subscript"/>
        <sz val="10"/>
        <rFont val="Arial"/>
        <family val="2"/>
      </rPr>
      <t>G4</t>
    </r>
    <r>
      <rPr>
        <sz val="10"/>
        <rFont val="Arial"/>
        <family val="2"/>
      </rPr>
      <t xml:space="preserve"> =</t>
    </r>
  </si>
  <si>
    <t>maximale Höhe:</t>
  </si>
  <si>
    <t>Dübel Ø =</t>
  </si>
  <si>
    <t>mm</t>
  </si>
  <si>
    <t>Stück</t>
  </si>
  <si>
    <t>minimale Dicke:</t>
  </si>
  <si>
    <t xml:space="preserve">Material: </t>
  </si>
  <si>
    <t xml:space="preserve">Es sind </t>
  </si>
  <si>
    <t>Felder nicht ausgefüllt</t>
  </si>
  <si>
    <t>Kein Einzelfundament</t>
  </si>
  <si>
    <r>
      <t>Höhe H</t>
    </r>
    <r>
      <rPr>
        <vertAlign val="subscript"/>
        <sz val="10"/>
        <rFont val="Arial"/>
        <family val="2"/>
      </rPr>
      <t xml:space="preserve">F = </t>
    </r>
  </si>
  <si>
    <r>
      <t>F</t>
    </r>
    <r>
      <rPr>
        <vertAlign val="subscript"/>
        <sz val="10"/>
        <rFont val="Arial"/>
        <family val="2"/>
      </rPr>
      <t>Grabmal</t>
    </r>
    <r>
      <rPr>
        <sz val="10"/>
        <rFont val="Arial"/>
        <family val="2"/>
      </rPr>
      <t xml:space="preserve"> =</t>
    </r>
  </si>
  <si>
    <t>Bedenkenanmeldung</t>
  </si>
  <si>
    <t>Grabstein vorhanden</t>
  </si>
  <si>
    <t>mit</t>
  </si>
  <si>
    <t>kein</t>
  </si>
  <si>
    <t>Breite =</t>
  </si>
  <si>
    <t>Länge =</t>
  </si>
  <si>
    <t>Höhe =</t>
  </si>
  <si>
    <t>D1 =</t>
  </si>
  <si>
    <t>D2 =</t>
  </si>
  <si>
    <t>D3 =</t>
  </si>
  <si>
    <t>L =</t>
  </si>
  <si>
    <t>H =</t>
  </si>
  <si>
    <t>D =</t>
  </si>
  <si>
    <t>Zahl der Abdeckplatten:</t>
  </si>
  <si>
    <t>Dicke =</t>
  </si>
  <si>
    <t>Abmessungen der größten Platte</t>
  </si>
  <si>
    <t>Teil(en)</t>
  </si>
  <si>
    <t>Dübel</t>
  </si>
  <si>
    <t>Dübel vorhanden</t>
  </si>
  <si>
    <t>Einfassung vorhanden</t>
  </si>
  <si>
    <t>keine</t>
  </si>
  <si>
    <t>Abdeckplatten vorhanden</t>
  </si>
  <si>
    <t>Einbindelänge =</t>
  </si>
  <si>
    <t>Fundament vorhanden</t>
  </si>
  <si>
    <t>Betongüte =</t>
  </si>
  <si>
    <t>Bewehrung Ø =</t>
  </si>
  <si>
    <t>Pfahllänge Lp =</t>
  </si>
  <si>
    <t>www.denak.de</t>
  </si>
  <si>
    <t>Längstes Einfassungsteil</t>
  </si>
  <si>
    <t>Höhe</t>
  </si>
  <si>
    <t>Dicke</t>
  </si>
  <si>
    <t>Volumen</t>
  </si>
  <si>
    <t>Fg</t>
  </si>
  <si>
    <t>Ms</t>
  </si>
  <si>
    <t>Mk</t>
  </si>
  <si>
    <t>Fd</t>
  </si>
  <si>
    <t>Länge</t>
  </si>
  <si>
    <t>Rohdichte</t>
  </si>
  <si>
    <t>Gewicht</t>
  </si>
  <si>
    <t>q</t>
  </si>
  <si>
    <t>M1</t>
  </si>
  <si>
    <t>M2</t>
  </si>
  <si>
    <t>Summe M</t>
  </si>
  <si>
    <t>Sigma 1</t>
  </si>
  <si>
    <t>M3</t>
  </si>
  <si>
    <t>Sigma 2</t>
  </si>
  <si>
    <t>Einzugsbreite</t>
  </si>
  <si>
    <t>Plattendicke</t>
  </si>
  <si>
    <t>kN/m²</t>
  </si>
  <si>
    <t>kN/m³</t>
  </si>
  <si>
    <t>kN</t>
  </si>
  <si>
    <t>m³</t>
  </si>
  <si>
    <t>Moment</t>
  </si>
  <si>
    <t>m²</t>
  </si>
  <si>
    <t>Keine Pfahlgründung</t>
  </si>
  <si>
    <r>
      <t>Länge L</t>
    </r>
    <r>
      <rPr>
        <vertAlign val="subscript"/>
        <sz val="10"/>
        <rFont val="Arial"/>
        <family val="2"/>
      </rPr>
      <t xml:space="preserve">G = </t>
    </r>
  </si>
  <si>
    <r>
      <t>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</t>
    </r>
  </si>
  <si>
    <r>
      <t>L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= </t>
    </r>
  </si>
  <si>
    <r>
      <t>Länge L</t>
    </r>
    <r>
      <rPr>
        <vertAlign val="subscript"/>
        <sz val="10"/>
        <rFont val="Arial"/>
        <family val="2"/>
      </rPr>
      <t xml:space="preserve">F = </t>
    </r>
  </si>
  <si>
    <t>C16/20</t>
  </si>
  <si>
    <r>
      <t>Breite B</t>
    </r>
    <r>
      <rPr>
        <vertAlign val="subscript"/>
        <sz val="10"/>
        <rFont val="Arial"/>
        <family val="2"/>
      </rPr>
      <t xml:space="preserve">F = </t>
    </r>
  </si>
  <si>
    <r>
      <t>Länge L</t>
    </r>
    <r>
      <rPr>
        <vertAlign val="subscript"/>
        <sz val="10"/>
        <rFont val="Arial"/>
        <family val="2"/>
      </rPr>
      <t xml:space="preserve">S = </t>
    </r>
  </si>
  <si>
    <t>Sockel:</t>
  </si>
  <si>
    <t>keine Gründung</t>
  </si>
  <si>
    <t>Einzelfundament vorhanden</t>
  </si>
  <si>
    <t>Pfahlgründung vorhanden</t>
  </si>
  <si>
    <t>Naturstein</t>
  </si>
  <si>
    <t>Stand:</t>
  </si>
  <si>
    <t>Form-</t>
  </si>
  <si>
    <t>faktor:</t>
  </si>
  <si>
    <t>min.</t>
  </si>
  <si>
    <t>max</t>
  </si>
  <si>
    <t>Dichte =</t>
  </si>
  <si>
    <t>Last</t>
  </si>
  <si>
    <t>ges.</t>
  </si>
  <si>
    <t>max. Wert</t>
  </si>
  <si>
    <t>Dübelvariante:</t>
  </si>
  <si>
    <t>Le1 =</t>
  </si>
  <si>
    <t>Le2 =</t>
  </si>
  <si>
    <t>Lges =</t>
  </si>
  <si>
    <t>Material:</t>
  </si>
  <si>
    <t>Grabstein:</t>
  </si>
  <si>
    <t>Fundament:</t>
  </si>
  <si>
    <t>2 Komponentenkleber</t>
  </si>
  <si>
    <t>Mörtel</t>
  </si>
  <si>
    <t>Ø Dübel 2  =</t>
  </si>
  <si>
    <t>Ø Dübel 1  =</t>
  </si>
  <si>
    <t>Zahl der Dübel pro Teil:</t>
  </si>
  <si>
    <t>Grabstein/Sockel:</t>
  </si>
  <si>
    <t>Variante 1:</t>
  </si>
  <si>
    <t>Variante 2:</t>
  </si>
  <si>
    <t>Variante 3:</t>
  </si>
  <si>
    <t>N</t>
  </si>
  <si>
    <t>Keine Abnahmeprüfung erforderlich</t>
  </si>
  <si>
    <t>Abnahmebescheinigung mit Prüfvermerk</t>
  </si>
  <si>
    <t>Abnahmeprüfung erforderlich</t>
  </si>
  <si>
    <t>Abnahmebescheinigung</t>
  </si>
  <si>
    <t>Last-Zeit-Diagramm einreichen</t>
  </si>
  <si>
    <t>Hs =</t>
  </si>
  <si>
    <t>Dübel 1</t>
  </si>
  <si>
    <t>Dübel 2</t>
  </si>
  <si>
    <t xml:space="preserve">max. Horizontallast: </t>
  </si>
  <si>
    <t>kNm</t>
  </si>
  <si>
    <t>Fd =</t>
  </si>
  <si>
    <t>τ =</t>
  </si>
  <si>
    <t>kN/cm²</t>
  </si>
  <si>
    <t>e</t>
  </si>
  <si>
    <t>M</t>
  </si>
  <si>
    <t>Faktor</t>
  </si>
  <si>
    <t>H/40</t>
  </si>
  <si>
    <t>Edelstahl</t>
  </si>
  <si>
    <t>Prüf-</t>
  </si>
  <si>
    <t>Prüföhe ab OK Fundament:</t>
  </si>
  <si>
    <t>Le3 =</t>
  </si>
  <si>
    <t>Höhenstaffelungen:</t>
  </si>
  <si>
    <t>cn</t>
  </si>
  <si>
    <t>h =</t>
  </si>
  <si>
    <t>d &lt;</t>
  </si>
  <si>
    <t>Vorgabewert nicht eingehalten</t>
  </si>
  <si>
    <t>Fehlermeldung Abmessungen</t>
  </si>
  <si>
    <t>Einbindelänge Le1 größer als die Sockelhöhe</t>
  </si>
  <si>
    <t>Einbindelänge Le2 größer als die Sockelhöhe</t>
  </si>
  <si>
    <t>Le1</t>
  </si>
  <si>
    <t>Le2</t>
  </si>
  <si>
    <t>Hs</t>
  </si>
  <si>
    <t>Stand</t>
  </si>
  <si>
    <t>Abmessungen entsprechen nicht den Vorgaben</t>
  </si>
  <si>
    <t>zul. Sigma</t>
  </si>
  <si>
    <t>Diagonale:</t>
  </si>
  <si>
    <t>Abmessungen bzw. Dicke ändern.</t>
  </si>
  <si>
    <t>Abmessungen des Einfassungsteiles korrigieren</t>
  </si>
  <si>
    <t>Diagonale =</t>
  </si>
  <si>
    <r>
      <t>F</t>
    </r>
    <r>
      <rPr>
        <vertAlign val="subscript"/>
        <sz val="10"/>
        <rFont val="Arial"/>
        <family val="2"/>
      </rPr>
      <t>Horizontal</t>
    </r>
    <r>
      <rPr>
        <sz val="10"/>
        <rFont val="Arial"/>
        <family val="2"/>
      </rPr>
      <t xml:space="preserve"> =</t>
    </r>
  </si>
  <si>
    <t>FH =</t>
  </si>
  <si>
    <t>Fg (Grabm) =</t>
  </si>
  <si>
    <t>H (Grabm) =</t>
  </si>
  <si>
    <t>m</t>
  </si>
  <si>
    <t>5% Schiefstellung e1 =</t>
  </si>
  <si>
    <t>L (Fundment) =</t>
  </si>
  <si>
    <t>min LF =</t>
  </si>
  <si>
    <t>B (Fundament) =</t>
  </si>
  <si>
    <t>min BF =</t>
  </si>
  <si>
    <t>H (Fundament) =</t>
  </si>
  <si>
    <t>max HF =</t>
  </si>
  <si>
    <t>A (Fundament) =</t>
  </si>
  <si>
    <t>min HF =</t>
  </si>
  <si>
    <t xml:space="preserve">V (Fundment) = </t>
  </si>
  <si>
    <t>Fg (Fundament) =</t>
  </si>
  <si>
    <t>e2 =</t>
  </si>
  <si>
    <t>M2=</t>
  </si>
  <si>
    <t>e3 =</t>
  </si>
  <si>
    <t>von UK Fundament bis Mitte Grabstein</t>
  </si>
  <si>
    <t>H (Gr+Fu) =</t>
  </si>
  <si>
    <t>Mg3 =</t>
  </si>
  <si>
    <t xml:space="preserve">Fg (Gr+Fu) = </t>
  </si>
  <si>
    <t>M (aus FH) =</t>
  </si>
  <si>
    <t>e = (aus FH)</t>
  </si>
  <si>
    <t>B/6 =</t>
  </si>
  <si>
    <t>Ausmitte aus ständiger Last</t>
  </si>
  <si>
    <t>e =</t>
  </si>
  <si>
    <t>B/3 =</t>
  </si>
  <si>
    <t>Ausmitte aus ständiger  Last + Fh</t>
  </si>
  <si>
    <t xml:space="preserve"> e =</t>
  </si>
  <si>
    <t>C =</t>
  </si>
  <si>
    <t>σ =</t>
  </si>
  <si>
    <t>σ (zul) =</t>
  </si>
  <si>
    <t>Kippsicherheit 1,5</t>
  </si>
  <si>
    <t>M (aus FG)*0,9</t>
  </si>
  <si>
    <t>M (aus FH)*1,5</t>
  </si>
  <si>
    <t>M (auf Fges)</t>
  </si>
  <si>
    <t>Fundamentabmessungen nicht ausreichend</t>
  </si>
  <si>
    <t>Pfahlabmessungen nicht ausreichend</t>
  </si>
  <si>
    <t>Pfahlabmessungen nicht zugelassen</t>
  </si>
  <si>
    <t>Betongüte:</t>
  </si>
  <si>
    <t>C20/25</t>
  </si>
  <si>
    <t>Pfahl mind. Ø =</t>
  </si>
  <si>
    <t>Abmessung nicht zugelassen</t>
  </si>
  <si>
    <t>Längen</t>
  </si>
  <si>
    <t>Bedenkenanmeldung:</t>
  </si>
  <si>
    <t>Kontolle</t>
  </si>
  <si>
    <t>Materialangabe für Dübel fehlt.</t>
  </si>
  <si>
    <t>Dübeldurchmesser fehlt</t>
  </si>
  <si>
    <t>Mörtel- bzw. Kleberangabe fehlt</t>
  </si>
  <si>
    <t>Materialangabe für Grabstein fehlt.</t>
  </si>
  <si>
    <t>Zahl der Dübel pro Teil fehlt</t>
  </si>
  <si>
    <t>Keine Gründung</t>
  </si>
  <si>
    <t>Einzelfundament</t>
  </si>
  <si>
    <t>Pfahlgründung</t>
  </si>
  <si>
    <t>alternative Gründung</t>
  </si>
  <si>
    <t>Gemotriefaktor nicht zulässig</t>
  </si>
  <si>
    <t>Langenangaben nicht zulässig</t>
  </si>
  <si>
    <t>Nicht alle Felder ausgefüllt</t>
  </si>
  <si>
    <t>cm       gew. Lges =</t>
  </si>
  <si>
    <t>nicht ausgefüllte Felder</t>
  </si>
  <si>
    <t>Materialangabe für den Sockel fehlt.</t>
  </si>
  <si>
    <t>Materialangabe für den Grabstein fehlt.</t>
  </si>
  <si>
    <t>Gesamtdübellänge zu kurz</t>
  </si>
  <si>
    <t>Materialangabe fehlt.</t>
  </si>
  <si>
    <t>Angaben zur Einfassung unvollständig</t>
  </si>
  <si>
    <t>Angaben zum Einfassungsteil unvollständig</t>
  </si>
  <si>
    <t>Dicke der Abdeckplatte nicht zulässig</t>
  </si>
  <si>
    <t>Einfassungsteil nicht zulässig</t>
  </si>
  <si>
    <t>Fundamentabmessung nicht ausreichend</t>
  </si>
  <si>
    <t>Angaben zum Fundament unvollständig</t>
  </si>
  <si>
    <t>C 20/25</t>
  </si>
  <si>
    <t>Gesamtdübellänge nicht zulässig</t>
  </si>
  <si>
    <t>L   =</t>
  </si>
  <si>
    <t>L1 =</t>
  </si>
  <si>
    <t>L2 =</t>
  </si>
  <si>
    <t>B   =</t>
  </si>
  <si>
    <t>B1 =</t>
  </si>
  <si>
    <t>H  =</t>
  </si>
  <si>
    <t>L3 =</t>
  </si>
  <si>
    <t>Lü =</t>
  </si>
  <si>
    <t>V1 = B x L1 x H</t>
  </si>
  <si>
    <t>cm³</t>
  </si>
  <si>
    <t>Fg1 =</t>
  </si>
  <si>
    <t>Hebel 1</t>
  </si>
  <si>
    <t>V2 = B x L2 X H</t>
  </si>
  <si>
    <t>Fg2 =</t>
  </si>
  <si>
    <t>Helbel 2</t>
  </si>
  <si>
    <t>V3 = L3 x B1 x H x 2</t>
  </si>
  <si>
    <t>Fg3 =</t>
  </si>
  <si>
    <t>Helbel 3</t>
  </si>
  <si>
    <t>Fges =</t>
  </si>
  <si>
    <t>Ms =</t>
  </si>
  <si>
    <t>kNcm</t>
  </si>
  <si>
    <t>Mgr =</t>
  </si>
  <si>
    <t>FGr =</t>
  </si>
  <si>
    <t>HGr =</t>
  </si>
  <si>
    <t>Mk =</t>
  </si>
  <si>
    <t>Fehlermeldung Fundament</t>
  </si>
  <si>
    <t>Kein Fundamentrahmen</t>
  </si>
  <si>
    <t>Hebel 4</t>
  </si>
  <si>
    <t>Hebel für Fg Einfassung+Abdeckplatte</t>
  </si>
  <si>
    <t>Meinf</t>
  </si>
  <si>
    <t>F Einf</t>
  </si>
  <si>
    <r>
      <t>F</t>
    </r>
    <r>
      <rPr>
        <vertAlign val="subscript"/>
        <sz val="10"/>
        <rFont val="Arial"/>
        <family val="2"/>
      </rPr>
      <t xml:space="preserve"> (Einf.+ Abd.)</t>
    </r>
  </si>
  <si>
    <t>Lü   =</t>
  </si>
  <si>
    <r>
      <t>Fg</t>
    </r>
    <r>
      <rPr>
        <vertAlign val="subscript"/>
        <sz val="10"/>
        <rFont val="Arial"/>
        <family val="2"/>
      </rPr>
      <t xml:space="preserve"> (Fundamentrahmen.)</t>
    </r>
  </si>
  <si>
    <t>Fundamentrahmen</t>
  </si>
  <si>
    <t>Wichte:</t>
  </si>
  <si>
    <t>HGR=</t>
  </si>
  <si>
    <t>daN</t>
  </si>
  <si>
    <t>1_1</t>
  </si>
  <si>
    <t>1_0</t>
  </si>
  <si>
    <t>0_0</t>
  </si>
  <si>
    <t>0_1</t>
  </si>
  <si>
    <t>Fundament zulässig</t>
  </si>
  <si>
    <t>Fundamentrahmen nicht zulässig</t>
  </si>
  <si>
    <t>B</t>
  </si>
  <si>
    <t>Eingabewert nicht zulässig</t>
  </si>
  <si>
    <t>Gewicht für aufgeschütteten Boden</t>
  </si>
  <si>
    <t>A =</t>
  </si>
  <si>
    <t xml:space="preserve"> </t>
  </si>
  <si>
    <r>
      <t>F</t>
    </r>
    <r>
      <rPr>
        <vertAlign val="subscript"/>
        <sz val="10"/>
        <rFont val="Arial"/>
        <family val="2"/>
      </rPr>
      <t xml:space="preserve"> (Abdeckung)</t>
    </r>
  </si>
  <si>
    <t>F Abdeck</t>
  </si>
  <si>
    <t>Abdeckung vorhanden</t>
  </si>
  <si>
    <t>Abeckung:</t>
  </si>
  <si>
    <t xml:space="preserve">L = </t>
  </si>
  <si>
    <t>B =</t>
  </si>
  <si>
    <t>V =</t>
  </si>
  <si>
    <t>F Abdeck =</t>
  </si>
  <si>
    <t>Gr-Dicke=</t>
  </si>
  <si>
    <t>Tragende Einfassung</t>
  </si>
  <si>
    <t>Keine tragende Einfassung</t>
  </si>
  <si>
    <t>B  =</t>
  </si>
  <si>
    <t>DGR =</t>
  </si>
  <si>
    <t>HGR =</t>
  </si>
  <si>
    <t>Injektionsdübel verwenden !</t>
  </si>
  <si>
    <t>Abmessungen nicht zulässig</t>
  </si>
  <si>
    <t>Abmessungen zu klein</t>
  </si>
  <si>
    <t>max D   =</t>
  </si>
  <si>
    <t>Seite</t>
  </si>
  <si>
    <t>Grabstelle:</t>
  </si>
  <si>
    <t>Sicherheitsrelevante Daten:</t>
  </si>
  <si>
    <t>erfoderliche Seiten</t>
  </si>
  <si>
    <t>nicht zulässig</t>
  </si>
  <si>
    <t>Dienstleistungserbringer</t>
  </si>
  <si>
    <t>Nutzungsberechtigter</t>
  </si>
  <si>
    <t>*) Eingabe erforderlich</t>
  </si>
  <si>
    <t>Anrede</t>
  </si>
  <si>
    <t>Name*):</t>
  </si>
  <si>
    <t>Vorname*):</t>
  </si>
  <si>
    <r>
      <t>Betrieb</t>
    </r>
    <r>
      <rPr>
        <vertAlign val="superscript"/>
        <sz val="10"/>
        <rFont val="Arial Narrow"/>
        <family val="2"/>
      </rPr>
      <t>*)</t>
    </r>
  </si>
  <si>
    <r>
      <t>Straße</t>
    </r>
    <r>
      <rPr>
        <vertAlign val="superscript"/>
        <sz val="9"/>
        <rFont val="Arial Narrow"/>
        <family val="2"/>
      </rPr>
      <t>*)</t>
    </r>
    <r>
      <rPr>
        <sz val="9"/>
        <rFont val="Arial Narrow"/>
        <family val="2"/>
      </rPr>
      <t>:</t>
    </r>
  </si>
  <si>
    <r>
      <t>PLZ</t>
    </r>
    <r>
      <rPr>
        <vertAlign val="superscript"/>
        <sz val="9"/>
        <rFont val="Arial Narrow"/>
        <family val="2"/>
      </rPr>
      <t>*)</t>
    </r>
    <r>
      <rPr>
        <sz val="9"/>
        <rFont val="Arial Narrow"/>
        <family val="2"/>
      </rPr>
      <t>:</t>
    </r>
  </si>
  <si>
    <r>
      <t>Ort</t>
    </r>
    <r>
      <rPr>
        <vertAlign val="superscript"/>
        <sz val="9"/>
        <rFont val="Arial Narrow"/>
        <family val="2"/>
      </rPr>
      <t>*)</t>
    </r>
    <r>
      <rPr>
        <sz val="9"/>
        <rFont val="Arial Narrow"/>
        <family val="2"/>
      </rPr>
      <t>:</t>
    </r>
  </si>
  <si>
    <t>E-Mail:</t>
  </si>
  <si>
    <t>Telefon:</t>
  </si>
  <si>
    <t>PLZ</t>
  </si>
  <si>
    <t>Ort</t>
  </si>
  <si>
    <t>Fax:</t>
  </si>
  <si>
    <t>Firmenstempel</t>
  </si>
  <si>
    <t>Der Dienstleistungserbringer ist alleine verantwortlich für die Planung der Grabmalanlage entsprechend der TA Grabmal,</t>
  </si>
  <si>
    <t>die Errichtung der Grabmalanlage entsprechend den Planungsunterlagen und somit für die Standsicherheit.</t>
  </si>
  <si>
    <t>Die Friedhofsverwaltung prüft und bestätigt nur die Vollständigkeit der sicherheitsrelevanten Daten.</t>
  </si>
  <si>
    <t>Datum:</t>
  </si>
  <si>
    <t>keine gültige Lizenz</t>
  </si>
  <si>
    <t>Grab*):</t>
  </si>
  <si>
    <t>Extraseite</t>
  </si>
  <si>
    <t>Seite 4</t>
  </si>
  <si>
    <t>Seite 5</t>
  </si>
  <si>
    <t>Seite 6</t>
  </si>
  <si>
    <t>Herr</t>
  </si>
  <si>
    <t>Frau</t>
  </si>
  <si>
    <t>Fundament + Spies</t>
  </si>
  <si>
    <t>Anzahl  Spiese</t>
  </si>
  <si>
    <t>Durchmesser</t>
  </si>
  <si>
    <t>Spieslänge =</t>
  </si>
  <si>
    <t>Erdspies</t>
  </si>
  <si>
    <t>wiederverfüllter Boden</t>
  </si>
  <si>
    <t>SL</t>
  </si>
  <si>
    <t>HF</t>
  </si>
  <si>
    <t>Spies</t>
  </si>
  <si>
    <t>LF</t>
  </si>
  <si>
    <t>Gew.</t>
  </si>
  <si>
    <t>Platte</t>
  </si>
  <si>
    <t>Wiedv.</t>
  </si>
  <si>
    <t>vorh.</t>
  </si>
  <si>
    <t>gew.</t>
  </si>
  <si>
    <t>verf.</t>
  </si>
  <si>
    <t>gewachsener Boden</t>
  </si>
  <si>
    <t>Kein Erdspies vorhanden</t>
  </si>
  <si>
    <t>Erdspies ausreichend</t>
  </si>
  <si>
    <t>Erdspies nicht ausreichend</t>
  </si>
  <si>
    <t>Erdspieß</t>
  </si>
  <si>
    <r>
      <t>Länge L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</si>
  <si>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r>
      <t>Breite B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</si>
  <si>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r>
      <t>Höhe H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</si>
  <si>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t>Platteneinspannung</t>
  </si>
  <si>
    <t>Kein Erdspieß</t>
  </si>
  <si>
    <t>Keine Platteineinspannung</t>
  </si>
  <si>
    <t>nicht zugelassene Angaben</t>
  </si>
  <si>
    <t>Dimensionierung nicht ausreichend</t>
  </si>
  <si>
    <r>
      <t>H</t>
    </r>
    <r>
      <rPr>
        <vertAlign val="subscript"/>
        <sz val="10"/>
        <rFont val="Arial"/>
        <family val="2"/>
      </rPr>
      <t>Grabmal</t>
    </r>
    <r>
      <rPr>
        <sz val="10"/>
        <rFont val="Arial"/>
        <family val="2"/>
      </rPr>
      <t xml:space="preserve"> =</t>
    </r>
  </si>
  <si>
    <t>Spießlänge</t>
  </si>
  <si>
    <t>Gr-Höhe</t>
  </si>
  <si>
    <t>Erspies</t>
  </si>
  <si>
    <t>Seite 7</t>
  </si>
  <si>
    <t>Platteneispannung</t>
  </si>
  <si>
    <t>Granit</t>
  </si>
  <si>
    <t xml:space="preserve">Fax: </t>
  </si>
  <si>
    <t xml:space="preserve">Tel.: </t>
  </si>
  <si>
    <t>Längenangaben nicht zulässig</t>
  </si>
  <si>
    <t>Formfaktor nicht zulässig.</t>
  </si>
  <si>
    <t>Längenangaben nicht zulässig.</t>
  </si>
  <si>
    <t>Nicht alle Felder sind ausgefüllt.</t>
  </si>
  <si>
    <t>Mörtel- bzw. Kleberangabe fehlt.</t>
  </si>
  <si>
    <t>Zahl der Dübel pro Teil fehlt.</t>
  </si>
  <si>
    <t>Dübeldurchmesser fehlt.</t>
  </si>
  <si>
    <t>Gesamtdübellänge zu kurz.</t>
  </si>
  <si>
    <t>Dübellänge ist größer als Sockelhöhe.</t>
  </si>
  <si>
    <t>Materialangabe für den Dübel fehlt.</t>
  </si>
  <si>
    <t>Abmessungen entsprechen nicht den Vorgaben.</t>
  </si>
  <si>
    <t>Angaben zur Einfassung sind unvollständig.</t>
  </si>
  <si>
    <t>Angaben zum Einfassungsteil sind unvollständig.</t>
  </si>
  <si>
    <t>Das Einfassungsteil ist nicht zulässig.</t>
  </si>
  <si>
    <t>Die Dicke der Abdeckplatte ist nicht zulässig.</t>
  </si>
  <si>
    <t>Die Abmessungen entsprechen nicht den Vorgaben</t>
  </si>
  <si>
    <t>Die Angaben zum Fundament sind unvollständig.</t>
  </si>
  <si>
    <t>Die Abmessungen sind nicht ausreichend.</t>
  </si>
  <si>
    <t>Beton</t>
  </si>
  <si>
    <t>Friedhofsverwaltung</t>
  </si>
  <si>
    <t>63322 Rödermark, Dieburger Straße 13-17</t>
  </si>
  <si>
    <t>06074 911360</t>
  </si>
  <si>
    <t>06074 91 11 360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</si>
</sst>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0.0"/>
    <numFmt numFmtId="166" formatCode="d/m/yy;@"/>
  </numFmts>
  <fonts count="50" x14ac:knownFonts="1">
    <font>
      <sz val="10"/>
      <name val="Arial"/>
    </font>
    <font>
      <sz val="10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10"/>
      <color indexed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rgb="FFC00000"/>
      <name val="Arial"/>
      <family val="2"/>
    </font>
    <font>
      <sz val="10"/>
      <color theme="0"/>
      <name val="Arial"/>
      <family val="2"/>
    </font>
    <font>
      <u/>
      <sz val="8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 Narrow"/>
      <family val="2"/>
    </font>
    <font>
      <b/>
      <i/>
      <sz val="1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color indexed="9"/>
      <name val="Arial Narrow"/>
      <family val="2"/>
    </font>
    <font>
      <sz val="9"/>
      <name val="Arial"/>
      <family val="2"/>
    </font>
    <font>
      <vertAlign val="superscript"/>
      <sz val="10"/>
      <name val="Arial Narrow"/>
      <family val="2"/>
    </font>
    <font>
      <vertAlign val="superscript"/>
      <sz val="9"/>
      <name val="Arial Narrow"/>
      <family val="2"/>
    </font>
    <font>
      <vertAlign val="superscript"/>
      <sz val="10"/>
      <name val="Arial"/>
      <family val="2"/>
    </font>
    <font>
      <b/>
      <sz val="10"/>
      <color indexed="8"/>
      <name val="Arial"/>
      <family val="2"/>
    </font>
    <font>
      <sz val="6"/>
      <color indexed="9"/>
      <name val="Arial"/>
      <family val="2"/>
    </font>
    <font>
      <sz val="10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/>
    <xf numFmtId="2" fontId="3" fillId="0" borderId="0" xfId="0" applyNumberFormat="1" applyFont="1"/>
    <xf numFmtId="2" fontId="3" fillId="0" borderId="1" xfId="0" applyNumberFormat="1" applyFont="1" applyBorder="1"/>
    <xf numFmtId="0" fontId="0" fillId="0" borderId="0" xfId="0" applyBorder="1"/>
    <xf numFmtId="2" fontId="3" fillId="0" borderId="0" xfId="0" applyNumberFormat="1" applyFont="1" applyBorder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1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2" applyAlignment="1" applyProtection="1">
      <alignment horizontal="center"/>
    </xf>
    <xf numFmtId="0" fontId="3" fillId="3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19" fillId="0" borderId="0" xfId="0" applyFont="1"/>
    <xf numFmtId="0" fontId="20" fillId="0" borderId="0" xfId="0" applyFont="1"/>
    <xf numFmtId="0" fontId="14" fillId="0" borderId="0" xfId="0" applyFont="1"/>
    <xf numFmtId="0" fontId="3" fillId="0" borderId="0" xfId="0" applyFont="1" applyAlignment="1">
      <alignment horizontal="right"/>
    </xf>
    <xf numFmtId="0" fontId="3" fillId="5" borderId="2" xfId="0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66" fontId="13" fillId="0" borderId="0" xfId="0" applyNumberFormat="1" applyFont="1" applyAlignment="1">
      <alignment horizontal="right"/>
    </xf>
    <xf numFmtId="166" fontId="6" fillId="0" borderId="0" xfId="0" applyNumberFormat="1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Protection="1">
      <protection locked="0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4" fillId="7" borderId="0" xfId="0" applyFont="1" applyFill="1" applyBorder="1"/>
    <xf numFmtId="0" fontId="14" fillId="6" borderId="0" xfId="0" applyFont="1" applyFill="1"/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3" fillId="0" borderId="0" xfId="0" applyFont="1"/>
    <xf numFmtId="0" fontId="24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/>
    <xf numFmtId="0" fontId="1" fillId="0" borderId="0" xfId="0" applyFont="1" applyAlignment="1"/>
    <xf numFmtId="0" fontId="2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2" fontId="25" fillId="0" borderId="0" xfId="0" applyNumberFormat="1" applyFont="1"/>
    <xf numFmtId="165" fontId="14" fillId="6" borderId="0" xfId="0" applyNumberFormat="1" applyFont="1" applyFill="1"/>
    <xf numFmtId="164" fontId="3" fillId="0" borderId="0" xfId="0" applyNumberFormat="1" applyFont="1"/>
    <xf numFmtId="0" fontId="14" fillId="7" borderId="2" xfId="0" applyFont="1" applyFill="1" applyBorder="1"/>
    <xf numFmtId="0" fontId="6" fillId="0" borderId="0" xfId="0" applyFont="1" applyFill="1" applyBorder="1" applyAlignment="1">
      <alignment horizontal="center"/>
    </xf>
    <xf numFmtId="2" fontId="26" fillId="0" borderId="0" xfId="0" applyNumberFormat="1" applyFont="1"/>
    <xf numFmtId="0" fontId="3" fillId="5" borderId="0" xfId="0" applyFont="1" applyFill="1"/>
    <xf numFmtId="0" fontId="3" fillId="0" borderId="2" xfId="0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27" fillId="9" borderId="0" xfId="0" applyFont="1" applyFill="1" applyBorder="1" applyAlignment="1"/>
    <xf numFmtId="0" fontId="0" fillId="0" borderId="2" xfId="0" applyBorder="1"/>
    <xf numFmtId="0" fontId="28" fillId="0" borderId="2" xfId="0" applyFont="1" applyBorder="1" applyAlignment="1">
      <alignment horizontal="center"/>
    </xf>
    <xf numFmtId="43" fontId="3" fillId="0" borderId="0" xfId="3" applyFont="1"/>
    <xf numFmtId="0" fontId="24" fillId="9" borderId="0" xfId="0" applyFont="1" applyFill="1" applyAlignment="1">
      <alignment horizontal="center"/>
    </xf>
    <xf numFmtId="0" fontId="24" fillId="9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3" fillId="5" borderId="2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8" borderId="2" xfId="0" applyFill="1" applyBorder="1" applyAlignment="1">
      <alignment horizontal="center"/>
    </xf>
    <xf numFmtId="2" fontId="3" fillId="10" borderId="0" xfId="0" applyNumberFormat="1" applyFont="1" applyFill="1"/>
    <xf numFmtId="0" fontId="3" fillId="9" borderId="0" xfId="0" applyFont="1" applyFill="1" applyAlignment="1">
      <alignment horizontal="right"/>
    </xf>
    <xf numFmtId="2" fontId="0" fillId="0" borderId="0" xfId="0" applyNumberFormat="1"/>
    <xf numFmtId="0" fontId="6" fillId="0" borderId="0" xfId="0" applyFont="1"/>
    <xf numFmtId="0" fontId="14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6" borderId="0" xfId="0" applyFill="1"/>
    <xf numFmtId="0" fontId="0" fillId="7" borderId="2" xfId="0" applyFill="1" applyBorder="1" applyAlignment="1">
      <alignment horizontal="center"/>
    </xf>
    <xf numFmtId="0" fontId="31" fillId="0" borderId="0" xfId="0" applyFont="1"/>
    <xf numFmtId="2" fontId="32" fillId="5" borderId="2" xfId="0" applyNumberFormat="1" applyFont="1" applyFill="1" applyBorder="1"/>
    <xf numFmtId="0" fontId="32" fillId="7" borderId="2" xfId="0" applyFont="1" applyFill="1" applyBorder="1"/>
    <xf numFmtId="0" fontId="32" fillId="0" borderId="0" xfId="0" applyFont="1"/>
    <xf numFmtId="0" fontId="32" fillId="0" borderId="0" xfId="0" applyFont="1" applyAlignment="1">
      <alignment horizontal="center"/>
    </xf>
    <xf numFmtId="9" fontId="31" fillId="0" borderId="0" xfId="0" applyNumberFormat="1" applyFont="1"/>
    <xf numFmtId="164" fontId="32" fillId="0" borderId="0" xfId="0" applyNumberFormat="1" applyFont="1"/>
    <xf numFmtId="0" fontId="31" fillId="0" borderId="0" xfId="0" applyFont="1" applyAlignment="1"/>
    <xf numFmtId="164" fontId="31" fillId="0" borderId="0" xfId="0" applyNumberFormat="1" applyFont="1"/>
    <xf numFmtId="2" fontId="32" fillId="7" borderId="2" xfId="0" applyNumberFormat="1" applyFont="1" applyFill="1" applyBorder="1"/>
    <xf numFmtId="164" fontId="32" fillId="10" borderId="2" xfId="0" applyNumberFormat="1" applyFont="1" applyFill="1" applyBorder="1"/>
    <xf numFmtId="164" fontId="32" fillId="7" borderId="2" xfId="0" applyNumberFormat="1" applyFont="1" applyFill="1" applyBorder="1"/>
    <xf numFmtId="2" fontId="32" fillId="0" borderId="2" xfId="0" applyNumberFormat="1" applyFont="1" applyBorder="1"/>
    <xf numFmtId="2" fontId="32" fillId="10" borderId="2" xfId="0" applyNumberFormat="1" applyFont="1" applyFill="1" applyBorder="1"/>
    <xf numFmtId="0" fontId="32" fillId="0" borderId="2" xfId="0" applyFont="1" applyBorder="1"/>
    <xf numFmtId="0" fontId="31" fillId="0" borderId="0" xfId="0" applyFont="1" applyFill="1" applyBorder="1"/>
    <xf numFmtId="164" fontId="30" fillId="0" borderId="0" xfId="0" applyNumberFormat="1" applyFont="1"/>
    <xf numFmtId="0" fontId="1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Protection="1">
      <protection hidden="1"/>
    </xf>
    <xf numFmtId="0" fontId="1" fillId="4" borderId="0" xfId="0" applyFont="1" applyFill="1" applyProtection="1">
      <protection hidden="1"/>
    </xf>
    <xf numFmtId="2" fontId="1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34" fillId="0" borderId="0" xfId="0" applyFont="1"/>
    <xf numFmtId="0" fontId="10" fillId="11" borderId="2" xfId="0" applyFont="1" applyFill="1" applyBorder="1" applyAlignment="1">
      <alignment horizontal="center"/>
    </xf>
    <xf numFmtId="44" fontId="27" fillId="0" borderId="0" xfId="4" applyFont="1" applyAlignment="1">
      <alignment horizontal="right"/>
    </xf>
    <xf numFmtId="0" fontId="27" fillId="0" borderId="0" xfId="0" applyFont="1" applyAlignment="1">
      <alignment horizontal="right"/>
    </xf>
    <xf numFmtId="1" fontId="14" fillId="0" borderId="2" xfId="0" applyNumberFormat="1" applyFont="1" applyBorder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/>
    <xf numFmtId="0" fontId="10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 applyProtection="1"/>
    <xf numFmtId="0" fontId="20" fillId="9" borderId="0" xfId="0" applyFont="1" applyFill="1"/>
    <xf numFmtId="0" fontId="1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5" borderId="2" xfId="0" applyFill="1" applyBorder="1"/>
    <xf numFmtId="0" fontId="0" fillId="7" borderId="2" xfId="0" applyFill="1" applyBorder="1"/>
    <xf numFmtId="164" fontId="0" fillId="7" borderId="2" xfId="0" applyNumberFormat="1" applyFill="1" applyBorder="1"/>
    <xf numFmtId="164" fontId="30" fillId="7" borderId="2" xfId="0" applyNumberFormat="1" applyFont="1" applyFill="1" applyBorder="1"/>
    <xf numFmtId="0" fontId="30" fillId="5" borderId="2" xfId="0" applyFont="1" applyFill="1" applyBorder="1"/>
    <xf numFmtId="2" fontId="30" fillId="5" borderId="2" xfId="0" applyNumberFormat="1" applyFont="1" applyFill="1" applyBorder="1"/>
    <xf numFmtId="0" fontId="1" fillId="0" borderId="0" xfId="0" applyFont="1" applyFill="1" applyBorder="1"/>
    <xf numFmtId="2" fontId="0" fillId="5" borderId="2" xfId="0" applyNumberFormat="1" applyFill="1" applyBorder="1"/>
    <xf numFmtId="0" fontId="3" fillId="9" borderId="0" xfId="0" applyFont="1" applyFill="1" applyBorder="1"/>
    <xf numFmtId="2" fontId="30" fillId="7" borderId="2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3" fillId="0" borderId="0" xfId="0" applyNumberFormat="1" applyFont="1" applyBorder="1"/>
    <xf numFmtId="16" fontId="0" fillId="0" borderId="0" xfId="0" applyNumberFormat="1"/>
    <xf numFmtId="44" fontId="0" fillId="0" borderId="0" xfId="4" applyFont="1"/>
    <xf numFmtId="164" fontId="3" fillId="0" borderId="22" xfId="0" applyNumberFormat="1" applyFont="1" applyBorder="1"/>
    <xf numFmtId="166" fontId="0" fillId="0" borderId="0" xfId="0" applyNumberFormat="1" applyAlignment="1">
      <alignment horizontal="center"/>
    </xf>
    <xf numFmtId="0" fontId="21" fillId="0" borderId="0" xfId="2" applyFont="1" applyAlignment="1" applyProtection="1"/>
    <xf numFmtId="0" fontId="1" fillId="0" borderId="0" xfId="0" applyFont="1" applyAlignment="1">
      <alignment horizontal="left"/>
    </xf>
    <xf numFmtId="2" fontId="3" fillId="5" borderId="2" xfId="0" applyNumberFormat="1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0" fontId="10" fillId="0" borderId="2" xfId="0" applyFont="1" applyBorder="1"/>
    <xf numFmtId="0" fontId="1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3" fillId="5" borderId="2" xfId="0" applyNumberFormat="1" applyFont="1" applyFill="1" applyBorder="1"/>
    <xf numFmtId="0" fontId="35" fillId="5" borderId="2" xfId="0" applyFont="1" applyFill="1" applyBorder="1"/>
    <xf numFmtId="2" fontId="35" fillId="5" borderId="2" xfId="0" applyNumberFormat="1" applyFont="1" applyFill="1" applyBorder="1"/>
    <xf numFmtId="0" fontId="0" fillId="0" borderId="2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9" borderId="0" xfId="0" applyFont="1" applyFill="1" applyBorder="1" applyProtection="1"/>
    <xf numFmtId="0" fontId="14" fillId="9" borderId="2" xfId="0" applyFont="1" applyFill="1" applyBorder="1" applyAlignment="1">
      <alignment horizontal="center"/>
    </xf>
    <xf numFmtId="14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0" borderId="2" xfId="0" applyNumberFormat="1" applyFont="1" applyBorder="1"/>
    <xf numFmtId="0" fontId="21" fillId="0" borderId="0" xfId="2" applyFont="1" applyAlignment="1" applyProtection="1">
      <alignment horizontal="right"/>
    </xf>
    <xf numFmtId="166" fontId="6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42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43" fillId="0" borderId="0" xfId="0" applyFont="1"/>
    <xf numFmtId="0" fontId="43" fillId="0" borderId="0" xfId="0" applyFont="1" applyAlignment="1">
      <alignment horizontal="left"/>
    </xf>
    <xf numFmtId="0" fontId="16" fillId="0" borderId="0" xfId="0" applyFont="1"/>
    <xf numFmtId="0" fontId="39" fillId="0" borderId="0" xfId="0" applyFont="1"/>
    <xf numFmtId="0" fontId="38" fillId="3" borderId="2" xfId="0" applyFont="1" applyFill="1" applyBorder="1" applyAlignment="1" applyProtection="1">
      <alignment horizontal="right"/>
      <protection locked="0"/>
    </xf>
    <xf numFmtId="0" fontId="39" fillId="0" borderId="0" xfId="0" applyFont="1" applyAlignment="1">
      <alignment horizontal="left"/>
    </xf>
    <xf numFmtId="0" fontId="46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8" fillId="0" borderId="10" xfId="0" applyFont="1" applyBorder="1" applyAlignment="1"/>
    <xf numFmtId="0" fontId="0" fillId="0" borderId="16" xfId="0" applyBorder="1" applyAlignment="1">
      <alignment horizontal="center"/>
    </xf>
    <xf numFmtId="0" fontId="40" fillId="0" borderId="25" xfId="0" applyFont="1" applyFill="1" applyBorder="1" applyAlignment="1"/>
    <xf numFmtId="0" fontId="40" fillId="0" borderId="26" xfId="0" applyFont="1" applyFill="1" applyBorder="1" applyAlignment="1"/>
    <xf numFmtId="0" fontId="41" fillId="0" borderId="30" xfId="0" applyFont="1" applyFill="1" applyBorder="1" applyAlignment="1">
      <alignment horizontal="center"/>
    </xf>
    <xf numFmtId="0" fontId="41" fillId="0" borderId="33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left"/>
    </xf>
    <xf numFmtId="0" fontId="40" fillId="0" borderId="32" xfId="0" applyFont="1" applyFill="1" applyBorder="1" applyAlignment="1">
      <alignment horizontal="left"/>
    </xf>
    <xf numFmtId="0" fontId="41" fillId="0" borderId="34" xfId="0" applyFont="1" applyFill="1" applyBorder="1" applyAlignment="1">
      <alignment horizontal="center"/>
    </xf>
    <xf numFmtId="0" fontId="47" fillId="0" borderId="25" xfId="0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38" fillId="0" borderId="0" xfId="0" applyFont="1" applyBorder="1" applyAlignment="1"/>
    <xf numFmtId="0" fontId="39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0" fillId="0" borderId="0" xfId="0" applyFont="1" applyFill="1" applyBorder="1" applyAlignment="1"/>
    <xf numFmtId="0" fontId="3" fillId="0" borderId="0" xfId="0" applyFont="1" applyAlignment="1"/>
    <xf numFmtId="0" fontId="40" fillId="0" borderId="32" xfId="0" applyFont="1" applyFill="1" applyBorder="1" applyAlignment="1"/>
    <xf numFmtId="0" fontId="47" fillId="0" borderId="0" xfId="0" applyFont="1" applyFill="1" applyBorder="1" applyAlignment="1">
      <alignment horizontal="center"/>
    </xf>
    <xf numFmtId="0" fontId="40" fillId="0" borderId="25" xfId="0" applyNumberFormat="1" applyFont="1" applyFill="1" applyBorder="1" applyAlignment="1"/>
    <xf numFmtId="0" fontId="39" fillId="0" borderId="0" xfId="0" applyFont="1" applyAlignment="1"/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48" fillId="0" borderId="0" xfId="0" applyFont="1" applyAlignment="1">
      <alignment horizontal="right"/>
    </xf>
    <xf numFmtId="0" fontId="3" fillId="3" borderId="36" xfId="0" applyFont="1" applyFill="1" applyBorder="1" applyProtection="1">
      <protection locked="0"/>
    </xf>
    <xf numFmtId="1" fontId="3" fillId="4" borderId="36" xfId="0" applyNumberFormat="1" applyFont="1" applyFill="1" applyBorder="1" applyProtection="1"/>
    <xf numFmtId="1" fontId="3" fillId="3" borderId="36" xfId="0" applyNumberFormat="1" applyFont="1" applyFill="1" applyBorder="1" applyProtection="1">
      <protection locked="0"/>
    </xf>
    <xf numFmtId="0" fontId="4" fillId="0" borderId="0" xfId="0" applyFont="1" applyAlignment="1">
      <alignment horizontal="right"/>
    </xf>
    <xf numFmtId="0" fontId="1" fillId="0" borderId="0" xfId="0" applyFont="1" applyFill="1"/>
    <xf numFmtId="0" fontId="3" fillId="3" borderId="2" xfId="0" applyFont="1" applyFill="1" applyBorder="1" applyAlignment="1" applyProtection="1">
      <alignment horizontal="center"/>
      <protection locked="0"/>
    </xf>
    <xf numFmtId="0" fontId="3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40" fillId="4" borderId="0" xfId="0" applyFont="1" applyFill="1" applyProtection="1">
      <protection hidden="1"/>
    </xf>
    <xf numFmtId="1" fontId="40" fillId="4" borderId="0" xfId="0" applyNumberFormat="1" applyFont="1" applyFill="1" applyProtection="1">
      <protection hidden="1"/>
    </xf>
    <xf numFmtId="165" fontId="40" fillId="4" borderId="0" xfId="0" applyNumberFormat="1" applyFont="1" applyFill="1" applyProtection="1">
      <protection hidden="1"/>
    </xf>
    <xf numFmtId="2" fontId="40" fillId="4" borderId="0" xfId="0" applyNumberFormat="1" applyFont="1" applyFill="1" applyProtection="1">
      <protection hidden="1"/>
    </xf>
    <xf numFmtId="0" fontId="40" fillId="4" borderId="10" xfId="0" applyFont="1" applyFill="1" applyBorder="1" applyProtection="1">
      <protection hidden="1"/>
    </xf>
    <xf numFmtId="0" fontId="40" fillId="3" borderId="10" xfId="0" applyFont="1" applyFill="1" applyBorder="1" applyProtection="1">
      <protection hidden="1"/>
    </xf>
    <xf numFmtId="165" fontId="40" fillId="3" borderId="0" xfId="0" applyNumberFormat="1" applyFont="1" applyFill="1" applyProtection="1">
      <protection hidden="1"/>
    </xf>
    <xf numFmtId="0" fontId="40" fillId="0" borderId="0" xfId="0" applyFont="1"/>
    <xf numFmtId="0" fontId="40" fillId="3" borderId="0" xfId="0" applyFont="1" applyFill="1"/>
    <xf numFmtId="0" fontId="40" fillId="4" borderId="0" xfId="0" applyFont="1" applyFill="1"/>
    <xf numFmtId="0" fontId="47" fillId="12" borderId="0" xfId="0" applyFont="1" applyFill="1"/>
    <xf numFmtId="0" fontId="47" fillId="4" borderId="0" xfId="0" applyFont="1" applyFill="1" applyProtection="1">
      <protection hidden="1"/>
    </xf>
    <xf numFmtId="0" fontId="3" fillId="0" borderId="0" xfId="0" applyFont="1" applyAlignment="1" applyProtection="1">
      <alignment horizontal="center"/>
      <protection locked="0"/>
    </xf>
    <xf numFmtId="0" fontId="49" fillId="4" borderId="0" xfId="0" applyFont="1" applyFill="1" applyAlignment="1" applyProtection="1">
      <alignment horizontal="center"/>
      <protection locked="0" hidden="1"/>
    </xf>
    <xf numFmtId="0" fontId="49" fillId="4" borderId="0" xfId="0" applyFont="1" applyFill="1" applyProtection="1">
      <protection locked="0" hidden="1"/>
    </xf>
    <xf numFmtId="0" fontId="13" fillId="0" borderId="0" xfId="0" applyFont="1" applyProtection="1">
      <protection locked="0"/>
    </xf>
    <xf numFmtId="0" fontId="0" fillId="0" borderId="37" xfId="0" applyBorder="1"/>
    <xf numFmtId="0" fontId="5" fillId="0" borderId="0" xfId="0" applyFont="1" applyBorder="1" applyAlignment="1"/>
    <xf numFmtId="0" fontId="5" fillId="0" borderId="1" xfId="0" applyFont="1" applyBorder="1" applyAlignment="1"/>
    <xf numFmtId="0" fontId="0" fillId="0" borderId="1" xfId="0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37" xfId="0" applyBorder="1" applyAlignment="1" applyProtection="1">
      <protection locked="0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2" xfId="0" applyFill="1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0" fillId="0" borderId="0" xfId="0" applyNumberFormat="1" applyProtection="1">
      <protection locked="0"/>
    </xf>
    <xf numFmtId="0" fontId="19" fillId="5" borderId="3" xfId="0" applyFont="1" applyFill="1" applyBorder="1"/>
    <xf numFmtId="0" fontId="1" fillId="4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9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4" fillId="9" borderId="0" xfId="0" applyFont="1" applyFill="1" applyAlignment="1">
      <alignment horizontal="left"/>
    </xf>
    <xf numFmtId="0" fontId="27" fillId="0" borderId="0" xfId="0" applyFont="1" applyAlignment="1">
      <alignment horizontal="center"/>
    </xf>
    <xf numFmtId="0" fontId="27" fillId="9" borderId="0" xfId="0" applyFont="1" applyFill="1" applyBorder="1" applyAlignment="1">
      <alignment horizontal="center"/>
    </xf>
    <xf numFmtId="0" fontId="9" fillId="10" borderId="20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9" fillId="10" borderId="21" xfId="0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3" fillId="3" borderId="4" xfId="0" applyNumberFormat="1" applyFont="1" applyFill="1" applyBorder="1" applyAlignment="1" applyProtection="1">
      <alignment horizontal="left"/>
      <protection locked="0"/>
    </xf>
    <xf numFmtId="49" fontId="3" fillId="3" borderId="5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9" borderId="2" xfId="0" applyFont="1" applyFill="1" applyBorder="1" applyAlignment="1" applyProtection="1">
      <alignment horizontal="center"/>
    </xf>
    <xf numFmtId="0" fontId="9" fillId="10" borderId="17" xfId="0" applyFont="1" applyFill="1" applyBorder="1" applyAlignment="1">
      <alignment horizontal="center"/>
    </xf>
    <xf numFmtId="0" fontId="9" fillId="10" borderId="18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8" fillId="0" borderId="10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1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1" fillId="0" borderId="28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2" fillId="0" borderId="0" xfId="2" applyAlignment="1" applyProtection="1">
      <alignment horizontal="right"/>
    </xf>
    <xf numFmtId="0" fontId="24" fillId="9" borderId="0" xfId="0" applyFont="1" applyFill="1" applyAlignment="1">
      <alignment horizontal="center"/>
    </xf>
    <xf numFmtId="0" fontId="3" fillId="5" borderId="4" xfId="0" applyFont="1" applyFill="1" applyBorder="1" applyAlignment="1" applyProtection="1">
      <alignment horizontal="left"/>
      <protection locked="0"/>
    </xf>
    <xf numFmtId="0" fontId="3" fillId="5" borderId="5" xfId="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3" fillId="0" borderId="0" xfId="0" applyFont="1" applyAlignment="1">
      <alignment horizontal="center"/>
    </xf>
    <xf numFmtId="44" fontId="0" fillId="0" borderId="0" xfId="4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4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44" fontId="24" fillId="0" borderId="0" xfId="0" applyNumberFormat="1" applyFont="1" applyAlignment="1">
      <alignment horizontal="center"/>
    </xf>
    <xf numFmtId="0" fontId="3" fillId="5" borderId="2" xfId="0" applyFont="1" applyFill="1" applyBorder="1" applyAlignment="1" applyProtection="1">
      <alignment horizontal="left"/>
      <protection locked="0"/>
    </xf>
    <xf numFmtId="0" fontId="22" fillId="0" borderId="0" xfId="0" applyFont="1" applyAlignment="1"/>
    <xf numFmtId="0" fontId="10" fillId="0" borderId="11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0" fillId="0" borderId="11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0" fontId="10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6" fillId="10" borderId="6" xfId="0" applyFont="1" applyFill="1" applyBorder="1" applyAlignment="1">
      <alignment horizontal="center" vertical="center"/>
    </xf>
    <xf numFmtId="0" fontId="36" fillId="10" borderId="23" xfId="0" applyFont="1" applyFill="1" applyBorder="1" applyAlignment="1">
      <alignment horizontal="center" vertical="center"/>
    </xf>
    <xf numFmtId="0" fontId="36" fillId="10" borderId="7" xfId="0" applyFont="1" applyFill="1" applyBorder="1" applyAlignment="1">
      <alignment horizontal="center" vertical="center"/>
    </xf>
    <xf numFmtId="0" fontId="39" fillId="5" borderId="14" xfId="0" applyFont="1" applyFill="1" applyBorder="1" applyAlignment="1" applyProtection="1">
      <alignment horizontal="center"/>
      <protection locked="0"/>
    </xf>
    <xf numFmtId="0" fontId="39" fillId="5" borderId="1" xfId="0" applyFont="1" applyFill="1" applyBorder="1" applyAlignment="1" applyProtection="1">
      <alignment horizontal="center"/>
      <protection locked="0"/>
    </xf>
    <xf numFmtId="0" fontId="39" fillId="5" borderId="15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47" fillId="0" borderId="24" xfId="0" applyFont="1" applyFill="1" applyBorder="1" applyAlignment="1">
      <alignment horizontal="left"/>
    </xf>
    <xf numFmtId="0" fontId="47" fillId="0" borderId="25" xfId="0" applyFont="1" applyFill="1" applyBorder="1" applyAlignment="1">
      <alignment horizontal="left"/>
    </xf>
    <xf numFmtId="0" fontId="20" fillId="9" borderId="24" xfId="0" applyFont="1" applyFill="1" applyBorder="1" applyAlignment="1">
      <alignment horizontal="center"/>
    </xf>
    <xf numFmtId="0" fontId="20" fillId="9" borderId="25" xfId="0" applyFont="1" applyFill="1" applyBorder="1" applyAlignment="1">
      <alignment horizontal="center"/>
    </xf>
    <xf numFmtId="0" fontId="20" fillId="9" borderId="26" xfId="0" applyFont="1" applyFill="1" applyBorder="1" applyAlignment="1">
      <alignment horizontal="center"/>
    </xf>
    <xf numFmtId="0" fontId="20" fillId="9" borderId="27" xfId="0" applyFont="1" applyFill="1" applyBorder="1" applyAlignment="1">
      <alignment horizontal="center"/>
    </xf>
    <xf numFmtId="0" fontId="20" fillId="9" borderId="28" xfId="0" applyFont="1" applyFill="1" applyBorder="1" applyAlignment="1">
      <alignment horizontal="center"/>
    </xf>
    <xf numFmtId="0" fontId="20" fillId="9" borderId="29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left"/>
    </xf>
    <xf numFmtId="0" fontId="40" fillId="0" borderId="28" xfId="0" applyFont="1" applyFill="1" applyBorder="1" applyAlignment="1">
      <alignment horizontal="left"/>
    </xf>
    <xf numFmtId="0" fontId="40" fillId="0" borderId="29" xfId="0" applyFont="1" applyFill="1" applyBorder="1" applyAlignment="1">
      <alignment horizontal="left"/>
    </xf>
    <xf numFmtId="0" fontId="47" fillId="0" borderId="31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40" fillId="0" borderId="32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44" fontId="38" fillId="0" borderId="0" xfId="0" applyNumberFormat="1" applyFont="1" applyBorder="1" applyAlignment="1">
      <alignment horizontal="left"/>
    </xf>
    <xf numFmtId="0" fontId="39" fillId="0" borderId="11" xfId="0" applyFont="1" applyBorder="1" applyAlignment="1">
      <alignment horizontal="right"/>
    </xf>
    <xf numFmtId="0" fontId="39" fillId="0" borderId="9" xfId="0" applyFont="1" applyBorder="1" applyAlignment="1">
      <alignment horizontal="right"/>
    </xf>
    <xf numFmtId="0" fontId="39" fillId="5" borderId="12" xfId="0" applyFont="1" applyFill="1" applyBorder="1" applyAlignment="1" applyProtection="1">
      <alignment horizontal="center"/>
      <protection locked="0"/>
    </xf>
    <xf numFmtId="0" fontId="39" fillId="5" borderId="10" xfId="0" applyFont="1" applyFill="1" applyBorder="1" applyAlignment="1" applyProtection="1">
      <alignment horizontal="center"/>
      <protection locked="0"/>
    </xf>
    <xf numFmtId="0" fontId="39" fillId="5" borderId="13" xfId="0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6" fillId="0" borderId="0" xfId="0" applyFont="1" applyAlignment="1">
      <alignment horizontal="left"/>
    </xf>
    <xf numFmtId="0" fontId="38" fillId="3" borderId="2" xfId="0" applyFont="1" applyFill="1" applyBorder="1" applyAlignment="1" applyProtection="1">
      <alignment horizontal="center"/>
      <protection locked="0"/>
    </xf>
    <xf numFmtId="0" fontId="38" fillId="3" borderId="2" xfId="0" applyFont="1" applyFill="1" applyBorder="1" applyAlignment="1" applyProtection="1">
      <alignment horizontal="left"/>
      <protection locked="0"/>
    </xf>
    <xf numFmtId="0" fontId="43" fillId="0" borderId="0" xfId="0" applyFont="1" applyAlignment="1">
      <alignment horizontal="left"/>
    </xf>
    <xf numFmtId="0" fontId="38" fillId="3" borderId="4" xfId="0" applyFont="1" applyFill="1" applyBorder="1" applyAlignment="1" applyProtection="1">
      <alignment horizontal="left"/>
      <protection locked="0"/>
    </xf>
    <xf numFmtId="0" fontId="38" fillId="3" borderId="5" xfId="0" applyFont="1" applyFill="1" applyBorder="1" applyAlignment="1" applyProtection="1">
      <alignment horizontal="left"/>
      <protection locked="0"/>
    </xf>
    <xf numFmtId="0" fontId="13" fillId="3" borderId="2" xfId="0" applyFont="1" applyFill="1" applyBorder="1" applyAlignment="1" applyProtection="1">
      <alignment horizontal="left"/>
      <protection locked="0"/>
    </xf>
    <xf numFmtId="0" fontId="39" fillId="3" borderId="2" xfId="0" applyFont="1" applyFill="1" applyBorder="1" applyAlignment="1" applyProtection="1">
      <alignment horizontal="left"/>
      <protection locked="0"/>
    </xf>
    <xf numFmtId="0" fontId="39" fillId="0" borderId="0" xfId="0" applyFont="1" applyAlignment="1">
      <alignment horizontal="left"/>
    </xf>
    <xf numFmtId="0" fontId="39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9" fillId="5" borderId="4" xfId="0" applyFont="1" applyFill="1" applyBorder="1" applyAlignment="1" applyProtection="1">
      <alignment horizontal="right"/>
      <protection locked="0"/>
    </xf>
    <xf numFmtId="0" fontId="39" fillId="5" borderId="5" xfId="0" applyFont="1" applyFill="1" applyBorder="1" applyAlignment="1" applyProtection="1">
      <alignment horizontal="right"/>
      <protection locked="0"/>
    </xf>
    <xf numFmtId="0" fontId="39" fillId="5" borderId="4" xfId="0" applyFont="1" applyFill="1" applyBorder="1" applyAlignment="1" applyProtection="1">
      <alignment horizontal="left"/>
      <protection locked="0"/>
    </xf>
    <xf numFmtId="0" fontId="39" fillId="5" borderId="35" xfId="0" applyFont="1" applyFill="1" applyBorder="1" applyAlignment="1" applyProtection="1">
      <alignment horizontal="left"/>
      <protection locked="0"/>
    </xf>
    <xf numFmtId="0" fontId="39" fillId="5" borderId="5" xfId="0" applyFont="1" applyFill="1" applyBorder="1" applyAlignment="1" applyProtection="1">
      <alignment horizontal="left"/>
      <protection locked="0"/>
    </xf>
    <xf numFmtId="0" fontId="37" fillId="3" borderId="2" xfId="0" applyFont="1" applyFill="1" applyBorder="1" applyAlignment="1" applyProtection="1">
      <alignment horizontal="left"/>
      <protection locked="0"/>
    </xf>
    <xf numFmtId="0" fontId="46" fillId="0" borderId="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6" fillId="0" borderId="1" xfId="0" applyFont="1" applyBorder="1" applyAlignment="1">
      <alignment horizontal="center"/>
    </xf>
    <xf numFmtId="14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/>
    </xf>
    <xf numFmtId="49" fontId="19" fillId="5" borderId="2" xfId="0" applyNumberFormat="1" applyFont="1" applyFill="1" applyBorder="1" applyAlignment="1">
      <alignment horizontal="left"/>
    </xf>
  </cellXfs>
  <cellStyles count="5">
    <cellStyle name="Euro" xfId="1"/>
    <cellStyle name="Komma" xfId="3" builtinId="3"/>
    <cellStyle name="Link" xfId="2" builtinId="8"/>
    <cellStyle name="Standard" xfId="0" builtinId="0"/>
    <cellStyle name="Währung" xfId="4" builtinId="4"/>
  </cellStyles>
  <dxfs count="26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  <border>
        <left/>
        <right/>
        <top/>
        <bottom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lor theme="0" tint="-0.499984740745262"/>
      </font>
      <fill>
        <patternFill>
          <bgColor indexed="2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indexed="2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theme="0" tint="-0.499984740745262"/>
      </font>
      <fill>
        <patternFill>
          <bgColor indexed="2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 tint="-0.499984740745262"/>
      </font>
      <fill>
        <patternFill>
          <bgColor indexed="2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indexed="2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 tint="-0.499984740745262"/>
      </font>
      <fill>
        <patternFill>
          <bgColor indexed="2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indexed="2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0" tint="-0.499984740745262"/>
      </font>
      <fill>
        <patternFill>
          <bgColor indexed="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jpeg"/><Relationship Id="rId12" Type="http://schemas.openxmlformats.org/officeDocument/2006/relationships/image" Target="../media/image22.png"/><Relationship Id="rId2" Type="http://schemas.openxmlformats.org/officeDocument/2006/relationships/image" Target="../media/image12.jpe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jpeg"/><Relationship Id="rId5" Type="http://schemas.openxmlformats.org/officeDocument/2006/relationships/image" Target="../media/image15.png"/><Relationship Id="rId10" Type="http://schemas.openxmlformats.org/officeDocument/2006/relationships/image" Target="../media/image20.jpeg"/><Relationship Id="rId4" Type="http://schemas.openxmlformats.org/officeDocument/2006/relationships/image" Target="../media/image14.jpeg"/><Relationship Id="rId9" Type="http://schemas.openxmlformats.org/officeDocument/2006/relationships/image" Target="../media/image19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</xdr:colOff>
      <xdr:row>45</xdr:row>
      <xdr:rowOff>126023</xdr:rowOff>
    </xdr:from>
    <xdr:to>
      <xdr:col>8</xdr:col>
      <xdr:colOff>143154</xdr:colOff>
      <xdr:row>48</xdr:row>
      <xdr:rowOff>87925</xdr:rowOff>
    </xdr:to>
    <xdr:pic>
      <xdr:nvPicPr>
        <xdr:cNvPr id="1151" name="Picture 4" descr="DENAK4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8603" y="8266235"/>
          <a:ext cx="593761" cy="445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220960</xdr:colOff>
      <xdr:row>5</xdr:row>
      <xdr:rowOff>1046</xdr:rowOff>
    </xdr:from>
    <xdr:to>
      <xdr:col>4</xdr:col>
      <xdr:colOff>520228</xdr:colOff>
      <xdr:row>20</xdr:row>
      <xdr:rowOff>94544</xdr:rowOff>
    </xdr:to>
    <xdr:pic>
      <xdr:nvPicPr>
        <xdr:cNvPr id="1152" name="Picture 5" descr="Antragszeichnung Layout2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5889" y="871903"/>
          <a:ext cx="2517232" cy="270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119800</xdr:colOff>
      <xdr:row>4</xdr:row>
      <xdr:rowOff>59516</xdr:rowOff>
    </xdr:from>
    <xdr:to>
      <xdr:col>8</xdr:col>
      <xdr:colOff>62231</xdr:colOff>
      <xdr:row>14</xdr:row>
      <xdr:rowOff>138675</xdr:rowOff>
    </xdr:to>
    <xdr:pic>
      <xdr:nvPicPr>
        <xdr:cNvPr id="1153" name="Picture 6" descr="Antragszeichnung Layout1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4561" y="763538"/>
          <a:ext cx="2037931" cy="1743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82822</xdr:colOff>
      <xdr:row>57</xdr:row>
      <xdr:rowOff>80168</xdr:rowOff>
    </xdr:from>
    <xdr:to>
      <xdr:col>2</xdr:col>
      <xdr:colOff>620313</xdr:colOff>
      <xdr:row>66</xdr:row>
      <xdr:rowOff>62398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1937" y="10198649"/>
          <a:ext cx="1299491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81685</xdr:colOff>
      <xdr:row>68</xdr:row>
      <xdr:rowOff>103400</xdr:rowOff>
    </xdr:from>
    <xdr:to>
      <xdr:col>2</xdr:col>
      <xdr:colOff>688998</xdr:colOff>
      <xdr:row>77</xdr:row>
      <xdr:rowOff>92669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30800" y="11965688"/>
          <a:ext cx="1369313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91110</xdr:colOff>
      <xdr:row>82</xdr:row>
      <xdr:rowOff>16565</xdr:rowOff>
    </xdr:from>
    <xdr:to>
      <xdr:col>2</xdr:col>
      <xdr:colOff>497501</xdr:colOff>
      <xdr:row>90</xdr:row>
      <xdr:rowOff>113367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1110" y="14403456"/>
          <a:ext cx="1416869" cy="1476000"/>
        </a:xfrm>
        <a:prstGeom prst="rect">
          <a:avLst/>
        </a:prstGeom>
      </xdr:spPr>
    </xdr:pic>
    <xdr:clientData/>
  </xdr:twoCellAnchor>
  <xdr:twoCellAnchor editAs="oneCell">
    <xdr:from>
      <xdr:col>7</xdr:col>
      <xdr:colOff>169537</xdr:colOff>
      <xdr:row>99</xdr:row>
      <xdr:rowOff>49887</xdr:rowOff>
    </xdr:from>
    <xdr:to>
      <xdr:col>8</xdr:col>
      <xdr:colOff>280453</xdr:colOff>
      <xdr:row>102</xdr:row>
      <xdr:rowOff>11787</xdr:rowOff>
    </xdr:to>
    <xdr:pic>
      <xdr:nvPicPr>
        <xdr:cNvPr id="8" name="Picture 4" descr="DENAK4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1124" y="17559322"/>
          <a:ext cx="599590" cy="458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157370</xdr:colOff>
      <xdr:row>5</xdr:row>
      <xdr:rowOff>111022</xdr:rowOff>
    </xdr:from>
    <xdr:to>
      <xdr:col>5</xdr:col>
      <xdr:colOff>384534</xdr:colOff>
      <xdr:row>18</xdr:row>
      <xdr:rowOff>106407</xdr:rowOff>
    </xdr:to>
    <xdr:pic>
      <xdr:nvPicPr>
        <xdr:cNvPr id="2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370" y="980696"/>
          <a:ext cx="3084664" cy="2157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16565</xdr:colOff>
      <xdr:row>18</xdr:row>
      <xdr:rowOff>56102</xdr:rowOff>
    </xdr:from>
    <xdr:to>
      <xdr:col>5</xdr:col>
      <xdr:colOff>407455</xdr:colOff>
      <xdr:row>28</xdr:row>
      <xdr:rowOff>37053</xdr:rowOff>
    </xdr:to>
    <xdr:pic>
      <xdr:nvPicPr>
        <xdr:cNvPr id="2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020"/>
        <a:stretch>
          <a:fillRect/>
        </a:stretch>
      </xdr:blipFill>
      <xdr:spPr bwMode="auto">
        <a:xfrm>
          <a:off x="16565" y="2947220"/>
          <a:ext cx="3270802" cy="1549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95249</xdr:colOff>
      <xdr:row>39</xdr:row>
      <xdr:rowOff>22585</xdr:rowOff>
    </xdr:from>
    <xdr:to>
      <xdr:col>5</xdr:col>
      <xdr:colOff>441876</xdr:colOff>
      <xdr:row>51</xdr:row>
      <xdr:rowOff>98921</xdr:rowOff>
    </xdr:to>
    <xdr:pic>
      <xdr:nvPicPr>
        <xdr:cNvPr id="21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49" y="6540406"/>
          <a:ext cx="3204127" cy="203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271666</xdr:colOff>
      <xdr:row>49</xdr:row>
      <xdr:rowOff>52595</xdr:rowOff>
    </xdr:from>
    <xdr:to>
      <xdr:col>8</xdr:col>
      <xdr:colOff>461752</xdr:colOff>
      <xdr:row>52</xdr:row>
      <xdr:rowOff>90696</xdr:rowOff>
    </xdr:to>
    <xdr:pic>
      <xdr:nvPicPr>
        <xdr:cNvPr id="2161" name="Picture 4" descr="DENAK4b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03470" y="8293791"/>
          <a:ext cx="695325" cy="535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407850</xdr:colOff>
      <xdr:row>22</xdr:row>
      <xdr:rowOff>36004</xdr:rowOff>
    </xdr:from>
    <xdr:to>
      <xdr:col>4</xdr:col>
      <xdr:colOff>427329</xdr:colOff>
      <xdr:row>44</xdr:row>
      <xdr:rowOff>116414</xdr:rowOff>
    </xdr:to>
    <xdr:pic>
      <xdr:nvPicPr>
        <xdr:cNvPr id="4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141" t="9915" r="38933" b="6055"/>
        <a:stretch>
          <a:fillRect/>
        </a:stretch>
      </xdr:blipFill>
      <xdr:spPr bwMode="auto">
        <a:xfrm>
          <a:off x="623198" y="3986808"/>
          <a:ext cx="2305479" cy="38324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47</xdr:row>
      <xdr:rowOff>85725</xdr:rowOff>
    </xdr:from>
    <xdr:to>
      <xdr:col>7</xdr:col>
      <xdr:colOff>742950</xdr:colOff>
      <xdr:row>50</xdr:row>
      <xdr:rowOff>123826</xdr:rowOff>
    </xdr:to>
    <xdr:pic>
      <xdr:nvPicPr>
        <xdr:cNvPr id="4183" name="Picture 3" descr="DENAK4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9650" y="8343900"/>
          <a:ext cx="7048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684592</xdr:colOff>
      <xdr:row>32</xdr:row>
      <xdr:rowOff>152593</xdr:rowOff>
    </xdr:from>
    <xdr:to>
      <xdr:col>7</xdr:col>
      <xdr:colOff>651461</xdr:colOff>
      <xdr:row>45</xdr:row>
      <xdr:rowOff>42888</xdr:rowOff>
    </xdr:to>
    <xdr:pic>
      <xdr:nvPicPr>
        <xdr:cNvPr id="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7119" t="11944" r="15718" b="11029"/>
        <a:stretch>
          <a:fillRect/>
        </a:stretch>
      </xdr:blipFill>
      <xdr:spPr bwMode="auto">
        <a:xfrm>
          <a:off x="3190400" y="5765016"/>
          <a:ext cx="2252869" cy="1985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101</xdr:row>
      <xdr:rowOff>85725</xdr:rowOff>
    </xdr:from>
    <xdr:to>
      <xdr:col>7</xdr:col>
      <xdr:colOff>742950</xdr:colOff>
      <xdr:row>104</xdr:row>
      <xdr:rowOff>123822</xdr:rowOff>
    </xdr:to>
    <xdr:pic>
      <xdr:nvPicPr>
        <xdr:cNvPr id="7" name="Picture 3" descr="DENAK4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34218" y="7974666"/>
          <a:ext cx="704850" cy="508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150087</xdr:colOff>
      <xdr:row>59</xdr:row>
      <xdr:rowOff>122544</xdr:rowOff>
    </xdr:from>
    <xdr:to>
      <xdr:col>4</xdr:col>
      <xdr:colOff>615461</xdr:colOff>
      <xdr:row>72</xdr:row>
      <xdr:rowOff>55727</xdr:rowOff>
    </xdr:to>
    <xdr:pic>
      <xdr:nvPicPr>
        <xdr:cNvPr id="10" name="Grafik 9" descr="Fundamentrahmen3_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0210" t="11830" r="14481" b="12728"/>
        <a:stretch>
          <a:fillRect/>
        </a:stretch>
      </xdr:blipFill>
      <xdr:spPr>
        <a:xfrm>
          <a:off x="150087" y="10167756"/>
          <a:ext cx="2971182" cy="2146670"/>
        </a:xfrm>
        <a:prstGeom prst="rect">
          <a:avLst/>
        </a:prstGeom>
      </xdr:spPr>
    </xdr:pic>
    <xdr:clientData/>
  </xdr:twoCellAnchor>
  <xdr:twoCellAnchor editAs="oneCell">
    <xdr:from>
      <xdr:col>1</xdr:col>
      <xdr:colOff>149503</xdr:colOff>
      <xdr:row>76</xdr:row>
      <xdr:rowOff>17216</xdr:rowOff>
    </xdr:from>
    <xdr:to>
      <xdr:col>7</xdr:col>
      <xdr:colOff>500252</xdr:colOff>
      <xdr:row>97</xdr:row>
      <xdr:rowOff>97443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4851" y="13261107"/>
          <a:ext cx="4906184" cy="3592053"/>
        </a:xfrm>
        <a:prstGeom prst="rect">
          <a:avLst/>
        </a:prstGeom>
      </xdr:spPr>
    </xdr:pic>
    <xdr:clientData/>
  </xdr:twoCellAnchor>
  <xdr:twoCellAnchor>
    <xdr:from>
      <xdr:col>1</xdr:col>
      <xdr:colOff>41461</xdr:colOff>
      <xdr:row>134</xdr:row>
      <xdr:rowOff>155966</xdr:rowOff>
    </xdr:from>
    <xdr:to>
      <xdr:col>2</xdr:col>
      <xdr:colOff>744845</xdr:colOff>
      <xdr:row>141</xdr:row>
      <xdr:rowOff>150141</xdr:rowOff>
    </xdr:to>
    <xdr:pic>
      <xdr:nvPicPr>
        <xdr:cNvPr id="1027" name="Picture 3" descr="Innenwinkel01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9175" y="23141152"/>
          <a:ext cx="1465384" cy="113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300017</xdr:colOff>
      <xdr:row>126</xdr:row>
      <xdr:rowOff>64485</xdr:rowOff>
    </xdr:from>
    <xdr:to>
      <xdr:col>5</xdr:col>
      <xdr:colOff>816429</xdr:colOff>
      <xdr:row>134</xdr:row>
      <xdr:rowOff>55162</xdr:rowOff>
    </xdr:to>
    <xdr:pic>
      <xdr:nvPicPr>
        <xdr:cNvPr id="1028" name="Picture 4" descr="Tragende_Einfassu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79731" y="21667185"/>
          <a:ext cx="2824184" cy="1373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153</xdr:row>
      <xdr:rowOff>85725</xdr:rowOff>
    </xdr:from>
    <xdr:to>
      <xdr:col>7</xdr:col>
      <xdr:colOff>742950</xdr:colOff>
      <xdr:row>156</xdr:row>
      <xdr:rowOff>123823</xdr:rowOff>
    </xdr:to>
    <xdr:pic>
      <xdr:nvPicPr>
        <xdr:cNvPr id="13" name="Picture 3" descr="DENAK4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22371" y="17383125"/>
          <a:ext cx="704850" cy="527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176750</xdr:colOff>
      <xdr:row>113</xdr:row>
      <xdr:rowOff>52550</xdr:rowOff>
    </xdr:from>
    <xdr:to>
      <xdr:col>5</xdr:col>
      <xdr:colOff>115190</xdr:colOff>
      <xdr:row>126</xdr:row>
      <xdr:rowOff>99866</xdr:rowOff>
    </xdr:to>
    <xdr:pic>
      <xdr:nvPicPr>
        <xdr:cNvPr id="14" name="Grafik 13" descr="TragEinfassung_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6750" y="19345602"/>
          <a:ext cx="3222923" cy="2293901"/>
        </a:xfrm>
        <a:prstGeom prst="rect">
          <a:avLst/>
        </a:prstGeom>
      </xdr:spPr>
    </xdr:pic>
    <xdr:clientData/>
  </xdr:twoCellAnchor>
  <xdr:twoCellAnchor editAs="oneCell">
    <xdr:from>
      <xdr:col>0</xdr:col>
      <xdr:colOff>118242</xdr:colOff>
      <xdr:row>168</xdr:row>
      <xdr:rowOff>157652</xdr:rowOff>
    </xdr:from>
    <xdr:to>
      <xdr:col>2</xdr:col>
      <xdr:colOff>663466</xdr:colOff>
      <xdr:row>182</xdr:row>
      <xdr:rowOff>33498</xdr:rowOff>
    </xdr:to>
    <xdr:pic>
      <xdr:nvPicPr>
        <xdr:cNvPr id="17" name="Picture 44" descr="Erdspiesskizze Layout1 (4)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8242" y="28719514"/>
          <a:ext cx="152400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712733</xdr:colOff>
      <xdr:row>168</xdr:row>
      <xdr:rowOff>144514</xdr:rowOff>
    </xdr:from>
    <xdr:to>
      <xdr:col>4</xdr:col>
      <xdr:colOff>617483</xdr:colOff>
      <xdr:row>182</xdr:row>
      <xdr:rowOff>20360</xdr:rowOff>
    </xdr:to>
    <xdr:pic>
      <xdr:nvPicPr>
        <xdr:cNvPr id="18" name="Picture 45" descr="Erdspiesskizze Layout1 (3)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94541" y="28265245"/>
          <a:ext cx="1428750" cy="2235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190</xdr:row>
      <xdr:rowOff>80598</xdr:rowOff>
    </xdr:from>
    <xdr:to>
      <xdr:col>3</xdr:col>
      <xdr:colOff>193784</xdr:colOff>
      <xdr:row>205</xdr:row>
      <xdr:rowOff>34412</xdr:rowOff>
    </xdr:to>
    <xdr:pic>
      <xdr:nvPicPr>
        <xdr:cNvPr id="15" name="Picture 46" descr="TA_Grabmal01_recover Einfassung (1)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96058" y="32047963"/>
          <a:ext cx="1241534" cy="2615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207</xdr:row>
      <xdr:rowOff>85725</xdr:rowOff>
    </xdr:from>
    <xdr:to>
      <xdr:col>7</xdr:col>
      <xdr:colOff>742950</xdr:colOff>
      <xdr:row>210</xdr:row>
      <xdr:rowOff>123822</xdr:rowOff>
    </xdr:to>
    <xdr:pic>
      <xdr:nvPicPr>
        <xdr:cNvPr id="20" name="Picture 3" descr="DENAK4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20307" y="17316122"/>
          <a:ext cx="704850" cy="530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5</xdr:row>
      <xdr:rowOff>30480</xdr:rowOff>
    </xdr:from>
    <xdr:to>
      <xdr:col>4</xdr:col>
      <xdr:colOff>706220</xdr:colOff>
      <xdr:row>15</xdr:row>
      <xdr:rowOff>71497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952500"/>
          <a:ext cx="2702660" cy="19536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126124</xdr:colOff>
      <xdr:row>13</xdr:row>
      <xdr:rowOff>8241</xdr:rowOff>
    </xdr:from>
    <xdr:to>
      <xdr:col>5</xdr:col>
      <xdr:colOff>94592</xdr:colOff>
      <xdr:row>16</xdr:row>
      <xdr:rowOff>94471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44414" y="2504448"/>
          <a:ext cx="1560785" cy="6064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2</xdr:row>
      <xdr:rowOff>85725</xdr:rowOff>
    </xdr:from>
    <xdr:to>
      <xdr:col>6</xdr:col>
      <xdr:colOff>952500</xdr:colOff>
      <xdr:row>4</xdr:row>
      <xdr:rowOff>144946</xdr:rowOff>
    </xdr:to>
    <xdr:pic>
      <xdr:nvPicPr>
        <xdr:cNvPr id="6172" name="Picture 4" descr="DENAK4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57675" y="514350"/>
          <a:ext cx="704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152400</xdr:rowOff>
    </xdr:from>
    <xdr:to>
      <xdr:col>9</xdr:col>
      <xdr:colOff>447675</xdr:colOff>
      <xdr:row>30</xdr:row>
      <xdr:rowOff>38100</xdr:rowOff>
    </xdr:to>
    <xdr:pic>
      <xdr:nvPicPr>
        <xdr:cNvPr id="7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03" t="18359" r="12656" b="12402"/>
        <a:stretch>
          <a:fillRect/>
        </a:stretch>
      </xdr:blipFill>
      <xdr:spPr bwMode="auto">
        <a:xfrm>
          <a:off x="180975" y="152400"/>
          <a:ext cx="6781800" cy="4743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nak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nak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enak.de/" TargetMode="External"/><Relationship Id="rId2" Type="http://schemas.openxmlformats.org/officeDocument/2006/relationships/hyperlink" Target="http://www.denak.de/" TargetMode="External"/><Relationship Id="rId1" Type="http://schemas.openxmlformats.org/officeDocument/2006/relationships/hyperlink" Target="http://www.denak.de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denak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nak.d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44"/>
  </sheetPr>
  <dimension ref="A1:AZ103"/>
  <sheetViews>
    <sheetView showGridLines="0" tabSelected="1" zoomScale="145" zoomScaleNormal="145" workbookViewId="0">
      <selection activeCell="D4" sqref="D4"/>
    </sheetView>
  </sheetViews>
  <sheetFormatPr baseColWidth="10" defaultRowHeight="12.75" x14ac:dyDescent="0.2"/>
  <cols>
    <col min="1" max="1" width="3.7109375" style="13" customWidth="1"/>
    <col min="3" max="3" width="13.28515625" customWidth="1"/>
    <col min="4" max="4" width="8.5703125" customWidth="1"/>
    <col min="5" max="5" width="12.5703125" customWidth="1"/>
    <col min="6" max="6" width="6.7109375" customWidth="1"/>
    <col min="7" max="7" width="17.42578125" customWidth="1"/>
    <col min="8" max="8" width="7.28515625" customWidth="1"/>
    <col min="9" max="9" width="5.85546875" customWidth="1"/>
    <col min="10" max="10" width="4.85546875" style="27" hidden="1" customWidth="1"/>
    <col min="11" max="16" width="4.7109375" style="27" hidden="1" customWidth="1"/>
    <col min="17" max="17" width="5.85546875" style="27" hidden="1" customWidth="1"/>
    <col min="18" max="18" width="6.7109375" style="27" hidden="1" customWidth="1"/>
    <col min="19" max="51" width="6.7109375" hidden="1" customWidth="1"/>
    <col min="52" max="52" width="11.42578125" hidden="1" customWidth="1"/>
    <col min="53" max="57" width="11.42578125" customWidth="1"/>
    <col min="58" max="58" width="0.140625" customWidth="1"/>
    <col min="59" max="59" width="11.42578125" customWidth="1"/>
  </cols>
  <sheetData>
    <row r="1" spans="1:49" x14ac:dyDescent="0.2">
      <c r="B1" s="301" t="str">
        <f>Lizenznehmer!A100</f>
        <v>Friedhofsverwaltung</v>
      </c>
      <c r="C1" s="301"/>
      <c r="D1" s="301"/>
      <c r="E1" s="301"/>
      <c r="F1" s="33"/>
      <c r="G1" s="281" t="str">
        <f>Lizenznehmer!J100</f>
        <v>Tel.: 06074 911360</v>
      </c>
      <c r="H1" s="281"/>
      <c r="I1" s="177" t="s">
        <v>305</v>
      </c>
      <c r="L1" s="36"/>
      <c r="M1" s="36"/>
      <c r="N1" s="36"/>
      <c r="O1" s="36"/>
      <c r="P1" s="36"/>
    </row>
    <row r="2" spans="1:49" ht="13.5" thickBot="1" x14ac:dyDescent="0.25">
      <c r="B2" s="292" t="str">
        <f>Lizenznehmer!A101</f>
        <v>63322 Rödermark, Dieburger Straße 13-17</v>
      </c>
      <c r="C2" s="292"/>
      <c r="D2" s="292"/>
      <c r="E2" s="292"/>
      <c r="F2" s="34"/>
      <c r="G2" s="303" t="str">
        <f>Lizenznehmer!J101</f>
        <v>Fax: 06074 91 11 360</v>
      </c>
      <c r="H2" s="303"/>
      <c r="I2" s="179">
        <v>1</v>
      </c>
      <c r="L2" s="36"/>
      <c r="M2" s="36"/>
      <c r="N2" s="36"/>
      <c r="O2" s="36"/>
      <c r="P2" s="36"/>
    </row>
    <row r="3" spans="1:49" ht="14.25" thickTop="1" thickBot="1" x14ac:dyDescent="0.25">
      <c r="A3" s="26">
        <v>0</v>
      </c>
      <c r="B3" s="13"/>
      <c r="C3" s="13"/>
      <c r="D3" s="3" t="str">
        <f>IF(D4&gt;3,"maximal 3 Teile","")</f>
        <v/>
      </c>
      <c r="E3" s="13"/>
      <c r="F3" s="13"/>
      <c r="G3" s="13"/>
      <c r="H3" s="13"/>
      <c r="I3" s="13"/>
      <c r="L3" s="36"/>
      <c r="M3" s="36"/>
      <c r="N3" s="36"/>
      <c r="O3" s="36"/>
      <c r="P3" s="36"/>
    </row>
    <row r="4" spans="1:49" ht="14.25" thickTop="1" thickBot="1" x14ac:dyDescent="0.25">
      <c r="A4" s="26">
        <v>1</v>
      </c>
      <c r="B4" s="302" t="s">
        <v>1</v>
      </c>
      <c r="C4" s="302"/>
      <c r="D4" s="20">
        <v>0</v>
      </c>
      <c r="E4" s="3" t="s">
        <v>2</v>
      </c>
      <c r="F4" s="3"/>
      <c r="G4" s="299" t="s">
        <v>11</v>
      </c>
      <c r="H4" s="300"/>
      <c r="I4" s="13"/>
      <c r="K4" s="46"/>
      <c r="L4" s="49">
        <f>IF(D4=0,0,1)</f>
        <v>0</v>
      </c>
      <c r="M4" s="36"/>
      <c r="N4" s="36"/>
      <c r="O4" s="36"/>
      <c r="P4" s="36"/>
    </row>
    <row r="5" spans="1:49" ht="13.5" thickTop="1" x14ac:dyDescent="0.2">
      <c r="A5" s="26">
        <v>2</v>
      </c>
      <c r="B5" s="13"/>
      <c r="C5" s="13"/>
      <c r="D5" s="26">
        <v>0</v>
      </c>
      <c r="E5" s="13"/>
      <c r="F5" s="13"/>
      <c r="G5" s="13"/>
      <c r="H5" s="13"/>
      <c r="I5" s="13"/>
      <c r="K5" s="46"/>
      <c r="L5" s="48"/>
      <c r="M5" s="48"/>
      <c r="N5" s="48"/>
      <c r="O5" s="36"/>
      <c r="P5" s="36"/>
      <c r="S5" t="s">
        <v>146</v>
      </c>
    </row>
    <row r="6" spans="1:49" x14ac:dyDescent="0.2">
      <c r="A6" s="26">
        <v>3</v>
      </c>
      <c r="B6" s="13"/>
      <c r="C6" s="13"/>
      <c r="D6" s="13"/>
      <c r="E6" s="13"/>
      <c r="F6" s="13"/>
      <c r="G6" s="13"/>
      <c r="H6" s="13"/>
      <c r="I6" s="13"/>
      <c r="K6" s="46"/>
      <c r="L6" s="48"/>
      <c r="M6" s="48"/>
      <c r="N6" s="48"/>
      <c r="O6" s="36"/>
      <c r="P6" s="36"/>
      <c r="S6" t="s">
        <v>149</v>
      </c>
      <c r="T6">
        <v>9</v>
      </c>
      <c r="U6" t="s">
        <v>147</v>
      </c>
      <c r="V6" t="s">
        <v>148</v>
      </c>
      <c r="W6">
        <v>69.900000000000006</v>
      </c>
      <c r="X6" t="s">
        <v>147</v>
      </c>
      <c r="AE6">
        <f>W16*AD16/100</f>
        <v>0</v>
      </c>
      <c r="AF6" s="269">
        <f>AF16-AE6</f>
        <v>0</v>
      </c>
      <c r="AM6" s="280" t="s">
        <v>210</v>
      </c>
      <c r="AN6" s="280"/>
      <c r="AO6" s="280"/>
    </row>
    <row r="7" spans="1:49" x14ac:dyDescent="0.2">
      <c r="A7" s="26">
        <v>4</v>
      </c>
      <c r="B7" s="13"/>
      <c r="C7" s="13"/>
      <c r="D7" s="13"/>
      <c r="E7" s="13"/>
      <c r="F7" s="13"/>
      <c r="G7" s="13"/>
      <c r="H7" s="13"/>
      <c r="I7" s="13"/>
      <c r="K7" s="46"/>
      <c r="L7" s="48"/>
      <c r="M7" s="48"/>
      <c r="N7" s="48"/>
      <c r="O7" s="36"/>
      <c r="P7" s="36"/>
      <c r="S7" t="s">
        <v>149</v>
      </c>
      <c r="T7">
        <v>10</v>
      </c>
      <c r="U7" t="s">
        <v>147</v>
      </c>
      <c r="V7" t="s">
        <v>148</v>
      </c>
      <c r="W7">
        <v>90</v>
      </c>
      <c r="X7" t="s">
        <v>147</v>
      </c>
      <c r="AM7" s="281" t="s">
        <v>227</v>
      </c>
      <c r="AN7" s="281"/>
      <c r="AO7" s="281"/>
      <c r="AP7" s="281"/>
      <c r="AQ7" s="281"/>
      <c r="AR7" s="281"/>
      <c r="AS7">
        <f>B24</f>
        <v>0</v>
      </c>
      <c r="AW7" s="93">
        <f>AS7</f>
        <v>0</v>
      </c>
    </row>
    <row r="8" spans="1:49" x14ac:dyDescent="0.2">
      <c r="A8" s="26">
        <v>5</v>
      </c>
      <c r="B8" s="13"/>
      <c r="C8" s="13"/>
      <c r="D8" s="13"/>
      <c r="E8" s="13"/>
      <c r="F8" s="13"/>
      <c r="G8" s="13"/>
      <c r="H8" s="13"/>
      <c r="I8" s="13"/>
      <c r="K8" s="46"/>
      <c r="L8" s="48"/>
      <c r="M8" s="48"/>
      <c r="N8" s="48"/>
      <c r="O8" s="36"/>
      <c r="P8" s="36"/>
      <c r="S8" t="s">
        <v>149</v>
      </c>
      <c r="T8">
        <v>11</v>
      </c>
      <c r="U8" t="s">
        <v>147</v>
      </c>
      <c r="V8" t="s">
        <v>148</v>
      </c>
      <c r="W8">
        <v>100</v>
      </c>
      <c r="X8" t="s">
        <v>147</v>
      </c>
      <c r="AM8" s="281" t="s">
        <v>221</v>
      </c>
      <c r="AN8" s="281"/>
      <c r="AO8" s="281"/>
      <c r="AP8" s="281"/>
      <c r="AQ8" s="281"/>
      <c r="AR8" s="281"/>
      <c r="AS8">
        <f>F19</f>
        <v>0</v>
      </c>
      <c r="AT8">
        <f>F23</f>
        <v>0</v>
      </c>
      <c r="AU8">
        <f>F27</f>
        <v>0</v>
      </c>
      <c r="AW8" s="93">
        <f>AS8+AT8+AU8</f>
        <v>0</v>
      </c>
    </row>
    <row r="9" spans="1:49" x14ac:dyDescent="0.2">
      <c r="A9" s="26">
        <v>6</v>
      </c>
      <c r="B9" s="13"/>
      <c r="C9" s="13"/>
      <c r="D9" s="13"/>
      <c r="E9" s="13"/>
      <c r="F9" s="13"/>
      <c r="G9" s="13"/>
      <c r="H9" s="13"/>
      <c r="I9" s="13"/>
      <c r="K9" s="46"/>
      <c r="L9" s="48"/>
      <c r="M9" s="48"/>
      <c r="N9" s="48"/>
      <c r="O9" s="36"/>
      <c r="P9" s="36"/>
      <c r="AM9" s="281" t="s">
        <v>222</v>
      </c>
      <c r="AN9" s="281"/>
      <c r="AO9" s="281"/>
      <c r="AP9" s="281"/>
      <c r="AQ9" s="281"/>
      <c r="AR9" s="281"/>
      <c r="AS9">
        <f>K15</f>
        <v>0</v>
      </c>
      <c r="AT9">
        <f>K19</f>
        <v>0</v>
      </c>
      <c r="AU9">
        <f>K23</f>
        <v>0</v>
      </c>
      <c r="AW9" s="93">
        <f>AS9+AT9+AU9+AV9</f>
        <v>0</v>
      </c>
    </row>
    <row r="10" spans="1:49" x14ac:dyDescent="0.2">
      <c r="A10" s="26">
        <v>7</v>
      </c>
      <c r="B10" s="13"/>
      <c r="C10" s="13"/>
      <c r="D10" s="13"/>
      <c r="E10" s="13"/>
      <c r="F10" s="13"/>
      <c r="G10" s="13"/>
      <c r="H10" s="13"/>
      <c r="I10" s="13"/>
      <c r="K10" s="46"/>
      <c r="L10" s="48"/>
      <c r="M10" s="48"/>
      <c r="N10" s="48"/>
      <c r="O10" s="36"/>
      <c r="P10" s="36"/>
      <c r="AG10" t="s">
        <v>140</v>
      </c>
      <c r="AH10" t="s">
        <v>140</v>
      </c>
      <c r="AM10" s="281" t="s">
        <v>223</v>
      </c>
      <c r="AN10" s="281"/>
      <c r="AO10" s="281"/>
      <c r="AP10" s="281"/>
      <c r="AQ10" s="281"/>
      <c r="AR10" s="281"/>
      <c r="AS10">
        <f>E16+E17+E18+F19+B24</f>
        <v>0</v>
      </c>
      <c r="AT10">
        <f>E20+E21+E22+F23</f>
        <v>0</v>
      </c>
      <c r="AU10">
        <f>E24+E25+E26+F27</f>
        <v>0</v>
      </c>
      <c r="AW10" s="93">
        <f>AS10+AT10+AU10+AV10</f>
        <v>0</v>
      </c>
    </row>
    <row r="11" spans="1:49" x14ac:dyDescent="0.2">
      <c r="A11" s="26">
        <v>8</v>
      </c>
      <c r="B11" s="13"/>
      <c r="C11" s="13"/>
      <c r="D11" s="13"/>
      <c r="E11" s="13"/>
      <c r="F11" s="13"/>
      <c r="G11" s="13"/>
      <c r="H11" s="13"/>
      <c r="I11" s="13"/>
      <c r="K11" s="46"/>
      <c r="L11" s="48"/>
      <c r="M11" s="48"/>
      <c r="N11" s="48"/>
      <c r="O11" s="36"/>
      <c r="P11" s="36"/>
      <c r="AF11" t="s">
        <v>157</v>
      </c>
      <c r="AG11" s="63">
        <v>0.9</v>
      </c>
      <c r="AH11" s="63">
        <v>1.5</v>
      </c>
    </row>
    <row r="12" spans="1:49" x14ac:dyDescent="0.2">
      <c r="A12" s="26">
        <v>9</v>
      </c>
      <c r="B12" s="13"/>
      <c r="C12" s="13"/>
      <c r="D12" s="13"/>
      <c r="E12" s="13"/>
      <c r="F12" s="13"/>
      <c r="G12" s="13"/>
      <c r="H12" s="13"/>
      <c r="I12" s="13"/>
      <c r="K12" s="46"/>
      <c r="L12" s="48"/>
      <c r="M12" s="48"/>
      <c r="N12" s="48"/>
      <c r="O12" s="36"/>
      <c r="P12" s="36"/>
      <c r="AD12" t="s">
        <v>141</v>
      </c>
      <c r="AF12" t="s">
        <v>84</v>
      </c>
    </row>
    <row r="13" spans="1:49" x14ac:dyDescent="0.2">
      <c r="A13" s="26">
        <v>10</v>
      </c>
      <c r="B13" s="13"/>
      <c r="C13" s="13"/>
      <c r="D13" s="13"/>
      <c r="E13" s="13"/>
      <c r="F13" s="13"/>
      <c r="G13" s="13"/>
      <c r="H13" s="13"/>
      <c r="I13" s="13"/>
      <c r="K13" s="46"/>
      <c r="L13" s="48"/>
      <c r="M13" s="48"/>
      <c r="N13" s="48"/>
      <c r="O13" s="36"/>
      <c r="P13" s="36"/>
      <c r="S13" s="13" t="s">
        <v>104</v>
      </c>
      <c r="U13" s="3">
        <v>26</v>
      </c>
      <c r="V13" s="13" t="s">
        <v>81</v>
      </c>
      <c r="Y13" t="s">
        <v>106</v>
      </c>
      <c r="Z13" t="s">
        <v>143</v>
      </c>
      <c r="AD13" s="13" t="s">
        <v>138</v>
      </c>
      <c r="AE13" s="13"/>
      <c r="AF13" t="s">
        <v>139</v>
      </c>
      <c r="AG13" s="13" t="s">
        <v>65</v>
      </c>
      <c r="AH13" s="13" t="s">
        <v>66</v>
      </c>
      <c r="AI13" s="13" t="s">
        <v>139</v>
      </c>
      <c r="AJ13" s="13" t="s">
        <v>67</v>
      </c>
      <c r="AK13" s="37" t="s">
        <v>282</v>
      </c>
    </row>
    <row r="14" spans="1:49" x14ac:dyDescent="0.2">
      <c r="A14" s="26">
        <v>11</v>
      </c>
      <c r="B14" s="13"/>
      <c r="C14" s="13"/>
      <c r="D14" s="13"/>
      <c r="E14" s="13"/>
      <c r="F14" s="13"/>
      <c r="G14" s="13"/>
      <c r="H14" s="13"/>
      <c r="I14" s="13"/>
      <c r="K14" s="46"/>
      <c r="L14" s="48"/>
      <c r="M14" s="48"/>
      <c r="N14" s="48"/>
      <c r="O14" s="36"/>
      <c r="P14" s="36"/>
      <c r="Y14" t="s">
        <v>61</v>
      </c>
      <c r="Z14" t="s">
        <v>61</v>
      </c>
      <c r="AB14" t="s">
        <v>105</v>
      </c>
      <c r="AD14" s="13" t="s">
        <v>0</v>
      </c>
      <c r="AE14" s="13"/>
      <c r="AF14" t="s">
        <v>134</v>
      </c>
      <c r="AG14" s="13" t="s">
        <v>134</v>
      </c>
      <c r="AH14" s="13" t="s">
        <v>134</v>
      </c>
      <c r="AJ14" t="s">
        <v>82</v>
      </c>
      <c r="AK14" s="1" t="s">
        <v>0</v>
      </c>
    </row>
    <row r="15" spans="1:49" x14ac:dyDescent="0.2">
      <c r="A15" s="26">
        <v>12</v>
      </c>
      <c r="B15" s="13"/>
      <c r="C15" s="13"/>
      <c r="D15" s="13"/>
      <c r="E15" s="51"/>
      <c r="F15" s="13"/>
      <c r="G15" s="13"/>
      <c r="H15" s="13"/>
      <c r="I15" s="13"/>
      <c r="K15" s="46">
        <f>L15*(K16+L16+K17+L17+K18+L18)</f>
        <v>0</v>
      </c>
      <c r="L15" s="49">
        <f>IF(D4=0,0,1)</f>
        <v>0</v>
      </c>
      <c r="M15" s="36"/>
      <c r="N15" s="36"/>
      <c r="O15" s="36"/>
      <c r="P15" s="41" t="s">
        <v>102</v>
      </c>
      <c r="Q15" s="13" t="s">
        <v>103</v>
      </c>
      <c r="S15" s="13" t="s">
        <v>63</v>
      </c>
      <c r="U15" s="13" t="s">
        <v>64</v>
      </c>
    </row>
    <row r="16" spans="1:49" ht="15.75" x14ac:dyDescent="0.3">
      <c r="A16" s="26">
        <v>13</v>
      </c>
      <c r="B16" s="13"/>
      <c r="C16" s="13"/>
      <c r="D16" s="13"/>
      <c r="E16" s="26">
        <f>IF($L$15&lt;1,0,IF($H$16&lt;=0,1,0))</f>
        <v>0</v>
      </c>
      <c r="F16" s="13" t="s">
        <v>100</v>
      </c>
      <c r="G16" s="37" t="s">
        <v>87</v>
      </c>
      <c r="H16" s="21">
        <v>45</v>
      </c>
      <c r="I16" s="13" t="s">
        <v>0</v>
      </c>
      <c r="K16" s="47">
        <f>IF(P16&gt;N16,1,0)</f>
        <v>1</v>
      </c>
      <c r="L16" s="47">
        <f>IF(N16&gt;Q16,1,0)</f>
        <v>0</v>
      </c>
      <c r="M16" s="48"/>
      <c r="N16" s="47">
        <f>H16*L15</f>
        <v>0</v>
      </c>
      <c r="O16" s="36"/>
      <c r="P16" s="44">
        <v>12</v>
      </c>
      <c r="Q16" s="65">
        <v>150</v>
      </c>
      <c r="S16">
        <f>H16*H17*H18/1000000</f>
        <v>0.11700000000000001</v>
      </c>
      <c r="T16" s="13" t="s">
        <v>83</v>
      </c>
      <c r="U16">
        <f>S16*U13</f>
        <v>3.0420000000000003</v>
      </c>
      <c r="V16" s="13" t="s">
        <v>82</v>
      </c>
      <c r="W16" s="3">
        <f>U16*F18*L15</f>
        <v>0</v>
      </c>
      <c r="X16" s="13" t="s">
        <v>82</v>
      </c>
      <c r="Y16" s="13">
        <f>N17+N32</f>
        <v>0</v>
      </c>
      <c r="Z16" s="3">
        <f>IF(Y16&gt;120,120,Y16)</f>
        <v>0</v>
      </c>
      <c r="AB16" s="3">
        <f>W17*Z17*L15</f>
        <v>0</v>
      </c>
      <c r="AD16" s="5">
        <f>Z16/40</f>
        <v>0</v>
      </c>
      <c r="AE16" s="5"/>
      <c r="AF16" s="66">
        <f>W16*N18/(2*100)</f>
        <v>0</v>
      </c>
      <c r="AG16" s="3">
        <f>AD16*$AG$11*W16/100</f>
        <v>0</v>
      </c>
      <c r="AH16" s="3">
        <f>AB16*$AH$11*Z16/100000</f>
        <v>0</v>
      </c>
      <c r="AI16" s="66">
        <f>AH16+AG16-AF16</f>
        <v>0</v>
      </c>
      <c r="AJ16" s="66">
        <f>AI16*100*2/H18</f>
        <v>0</v>
      </c>
      <c r="AK16" s="3">
        <f>N18</f>
        <v>0</v>
      </c>
    </row>
    <row r="17" spans="1:49" ht="15.75" x14ac:dyDescent="0.3">
      <c r="A17" s="26">
        <v>14</v>
      </c>
      <c r="B17" s="13"/>
      <c r="C17" s="13"/>
      <c r="D17" s="13"/>
      <c r="E17" s="26">
        <f>IF($L$15&lt;1,0,IF($H$17&lt;=0,1,0))</f>
        <v>0</v>
      </c>
      <c r="F17" s="13" t="s">
        <v>101</v>
      </c>
      <c r="G17" s="37" t="s">
        <v>4</v>
      </c>
      <c r="H17" s="21">
        <v>130</v>
      </c>
      <c r="I17" s="13" t="s">
        <v>0</v>
      </c>
      <c r="K17" s="47">
        <f>IF(N17&lt;P17,1,0)</f>
        <v>1</v>
      </c>
      <c r="L17" s="47">
        <f>IF(H17&gt;Q17,1,0)</f>
        <v>0</v>
      </c>
      <c r="M17" s="48"/>
      <c r="N17" s="47">
        <f>H17*L15</f>
        <v>0</v>
      </c>
      <c r="O17" s="36"/>
      <c r="P17" s="44">
        <v>30</v>
      </c>
      <c r="Q17" s="65">
        <f>IF(H18&lt;=$T$6,$W$6,IF(H18&lt;=$T$7,$W$7,IF(H18&lt;=$T$8,$W$8,160)))</f>
        <v>160</v>
      </c>
      <c r="W17">
        <f>IF(Z16&lt;70,1,IF(W16&lt;=0.75,0.6,1))</f>
        <v>1</v>
      </c>
      <c r="Z17">
        <f>IF(Z16&lt;50,200,IF(Z16&lt;70,300,500))</f>
        <v>200</v>
      </c>
    </row>
    <row r="18" spans="1:49" ht="15.75" x14ac:dyDescent="0.3">
      <c r="A18" s="26">
        <v>15</v>
      </c>
      <c r="B18" s="13"/>
      <c r="C18" s="13"/>
      <c r="D18" s="13"/>
      <c r="E18" s="26">
        <f>IF($L$15&lt;1,0,IF($H$18&lt;=0,1,0))</f>
        <v>0</v>
      </c>
      <c r="F18" s="165">
        <v>1</v>
      </c>
      <c r="G18" s="37" t="s">
        <v>3</v>
      </c>
      <c r="H18" s="21">
        <v>20</v>
      </c>
      <c r="I18" s="13" t="s">
        <v>0</v>
      </c>
      <c r="K18" s="47">
        <f>IF(N18&lt;P18,1,0)</f>
        <v>1</v>
      </c>
      <c r="L18" s="47">
        <f>IF(N18&gt;Q18,1,0)</f>
        <v>0</v>
      </c>
      <c r="M18" s="48"/>
      <c r="N18" s="47">
        <f>H18*L15</f>
        <v>0</v>
      </c>
      <c r="O18" s="36"/>
      <c r="P18" s="44">
        <v>8</v>
      </c>
      <c r="Q18" s="65">
        <v>34</v>
      </c>
    </row>
    <row r="19" spans="1:49" x14ac:dyDescent="0.2">
      <c r="A19" s="26">
        <v>16</v>
      </c>
      <c r="B19" s="13"/>
      <c r="C19" s="13"/>
      <c r="D19" s="13"/>
      <c r="E19" s="26"/>
      <c r="F19" s="141">
        <f>IF($L15&lt;1,0,IF($F$18&lt;=0,1,0))</f>
        <v>0</v>
      </c>
      <c r="G19" s="3" t="s">
        <v>17</v>
      </c>
      <c r="H19" s="13"/>
      <c r="I19" s="13"/>
      <c r="K19" s="46">
        <f>L19*(K20+L20+K21+L21+K22+L22)</f>
        <v>0</v>
      </c>
      <c r="L19" s="49">
        <f>IF(D4&gt;1,1,0)</f>
        <v>0</v>
      </c>
      <c r="M19" s="36"/>
      <c r="N19" s="36"/>
      <c r="O19" s="36"/>
      <c r="P19" s="36"/>
      <c r="S19" s="13" t="s">
        <v>63</v>
      </c>
      <c r="U19" s="13" t="s">
        <v>64</v>
      </c>
    </row>
    <row r="20" spans="1:49" ht="15.75" x14ac:dyDescent="0.3">
      <c r="A20" s="26">
        <v>17</v>
      </c>
      <c r="B20" s="13"/>
      <c r="C20" s="13"/>
      <c r="D20" s="13"/>
      <c r="E20" s="26">
        <f>IF($L$19=0,0,IF($H$20&lt;=0,1,0))</f>
        <v>0</v>
      </c>
      <c r="F20" s="13" t="s">
        <v>100</v>
      </c>
      <c r="G20" s="37" t="s">
        <v>88</v>
      </c>
      <c r="H20" s="21">
        <v>45</v>
      </c>
      <c r="I20" s="13" t="s">
        <v>0</v>
      </c>
      <c r="K20" s="47">
        <f>IF(N20&lt;P20,1,0)</f>
        <v>1</v>
      </c>
      <c r="L20" s="47">
        <f>IF(N20&gt;Q20,1,0)</f>
        <v>0</v>
      </c>
      <c r="M20" s="48"/>
      <c r="N20" s="47">
        <f>H20*L19</f>
        <v>0</v>
      </c>
      <c r="O20" s="36"/>
      <c r="P20" s="44">
        <v>12</v>
      </c>
      <c r="Q20" s="45">
        <v>150</v>
      </c>
      <c r="S20">
        <f>H20*H21*H22/1000000</f>
        <v>0.11700000000000001</v>
      </c>
      <c r="T20" s="13" t="s">
        <v>83</v>
      </c>
      <c r="U20">
        <f>S20*U13</f>
        <v>3.0420000000000003</v>
      </c>
      <c r="V20" s="13" t="s">
        <v>82</v>
      </c>
      <c r="W20" s="3">
        <f>U20*F22*L19</f>
        <v>0</v>
      </c>
      <c r="X20" s="13" t="s">
        <v>82</v>
      </c>
      <c r="Y20" s="13">
        <f>N21+N32</f>
        <v>0</v>
      </c>
      <c r="Z20" s="3">
        <f>IF(Y20&gt;120,120,Y20)</f>
        <v>0</v>
      </c>
      <c r="AB20" s="3">
        <f>W21*Z21*L19</f>
        <v>0</v>
      </c>
      <c r="AD20" s="5">
        <f>Z20/40</f>
        <v>0</v>
      </c>
      <c r="AE20" s="5"/>
      <c r="AF20" s="66">
        <f>W20*N22/(2*100)</f>
        <v>0</v>
      </c>
      <c r="AG20" s="3">
        <f>AD20*$AG$11*W20/100</f>
        <v>0</v>
      </c>
      <c r="AH20" s="3">
        <f>AB20*$AH$11*Z20/100000</f>
        <v>0</v>
      </c>
      <c r="AI20" s="66">
        <f>AH20+AG20-AF20</f>
        <v>0</v>
      </c>
      <c r="AJ20" s="66">
        <f>AI20*100*2/H22</f>
        <v>0</v>
      </c>
      <c r="AK20" s="3">
        <f>N22</f>
        <v>0</v>
      </c>
    </row>
    <row r="21" spans="1:49" ht="15.75" x14ac:dyDescent="0.3">
      <c r="A21" s="26">
        <v>18</v>
      </c>
      <c r="B21" s="13"/>
      <c r="C21" s="13"/>
      <c r="D21" s="13"/>
      <c r="E21" s="26">
        <f>IF($L$19=0,0,IF($H$21&lt;=0,1,0))</f>
        <v>0</v>
      </c>
      <c r="F21" s="13" t="s">
        <v>101</v>
      </c>
      <c r="G21" s="37" t="s">
        <v>5</v>
      </c>
      <c r="H21" s="21">
        <v>130</v>
      </c>
      <c r="I21" s="13" t="s">
        <v>0</v>
      </c>
      <c r="K21" s="47">
        <f>IF(N21&lt;P21,1,0)</f>
        <v>1</v>
      </c>
      <c r="L21" s="47">
        <f>IF(H21&gt;Q21,1,0)</f>
        <v>0</v>
      </c>
      <c r="M21" s="48"/>
      <c r="N21" s="47">
        <f>H21*L19</f>
        <v>0</v>
      </c>
      <c r="O21" s="36"/>
      <c r="P21" s="44">
        <v>30</v>
      </c>
      <c r="Q21" s="65">
        <f>IF(H22&lt;=$T$6,$W$6,IF(H22&lt;=$T$7,$W$7,IF(H22&lt;=$T$8,$W$8,160)))</f>
        <v>160</v>
      </c>
      <c r="W21">
        <f>IF(Z20&lt;70,1,IF(W20&lt;=0.75,0.6,1))</f>
        <v>1</v>
      </c>
      <c r="Z21">
        <f>IF(Z20&lt;50,200,IF(Z20&lt;70,300,500))</f>
        <v>200</v>
      </c>
    </row>
    <row r="22" spans="1:49" ht="15.75" x14ac:dyDescent="0.3">
      <c r="A22" s="26">
        <v>19</v>
      </c>
      <c r="B22" s="13"/>
      <c r="C22" s="13"/>
      <c r="D22" s="13"/>
      <c r="E22" s="26">
        <f>IF($L$19=0,0,IF($H$22&lt;=0,1,0))</f>
        <v>0</v>
      </c>
      <c r="F22" s="165">
        <v>1</v>
      </c>
      <c r="G22" s="37" t="s">
        <v>6</v>
      </c>
      <c r="H22" s="21">
        <v>20</v>
      </c>
      <c r="I22" s="13" t="s">
        <v>0</v>
      </c>
      <c r="K22" s="47">
        <f>IF(N22&lt;P22,1,0)</f>
        <v>1</v>
      </c>
      <c r="L22" s="47">
        <f>IF(N22&gt;Q22,1,0)</f>
        <v>0</v>
      </c>
      <c r="M22" s="48"/>
      <c r="N22" s="47">
        <f>H22*L19</f>
        <v>0</v>
      </c>
      <c r="O22" s="36"/>
      <c r="P22" s="44">
        <v>8</v>
      </c>
      <c r="Q22" s="45">
        <v>34</v>
      </c>
    </row>
    <row r="23" spans="1:49" x14ac:dyDescent="0.2">
      <c r="A23" s="26">
        <v>20</v>
      </c>
      <c r="B23" s="37" t="s">
        <v>26</v>
      </c>
      <c r="C23" s="295" t="s">
        <v>373</v>
      </c>
      <c r="D23" s="296"/>
      <c r="E23" s="26">
        <f>E15</f>
        <v>0</v>
      </c>
      <c r="F23" s="26">
        <f>IF($L$19&lt;1,0,IF($F$22&lt;=0,1,0))</f>
        <v>0</v>
      </c>
      <c r="G23" s="3" t="s">
        <v>17</v>
      </c>
      <c r="H23" s="13"/>
      <c r="I23" s="13"/>
      <c r="K23" s="46">
        <f>L23*(K24+L24+K25+L25+K26+L26)</f>
        <v>0</v>
      </c>
      <c r="L23" s="49">
        <f>IF(D4=3,1,0)</f>
        <v>0</v>
      </c>
      <c r="M23" s="36"/>
      <c r="N23" s="36"/>
      <c r="O23" s="36"/>
      <c r="P23" s="36"/>
      <c r="S23" s="13" t="s">
        <v>63</v>
      </c>
      <c r="U23" s="13" t="s">
        <v>64</v>
      </c>
    </row>
    <row r="24" spans="1:49" ht="15.75" x14ac:dyDescent="0.3">
      <c r="A24" s="26">
        <v>21</v>
      </c>
      <c r="B24" s="26">
        <f>IF($D$4&lt;1,0,IF($C$23&lt;=0,1,0))</f>
        <v>0</v>
      </c>
      <c r="C24" s="297" t="s">
        <v>17</v>
      </c>
      <c r="D24" s="298"/>
      <c r="E24" s="26">
        <f>IF($L$23=0,0,IF($H$24&lt;=0,1,0))</f>
        <v>0</v>
      </c>
      <c r="F24" s="13" t="s">
        <v>100</v>
      </c>
      <c r="G24" s="37" t="s">
        <v>89</v>
      </c>
      <c r="H24" s="21">
        <v>60</v>
      </c>
      <c r="I24" s="13" t="s">
        <v>0</v>
      </c>
      <c r="K24" s="47">
        <f>IF(N24&lt;P24,1,0)</f>
        <v>1</v>
      </c>
      <c r="L24" s="47">
        <f>IF(N24&gt;Q24,1,0)</f>
        <v>0</v>
      </c>
      <c r="M24" s="48"/>
      <c r="N24" s="47">
        <f>H24*L23</f>
        <v>0</v>
      </c>
      <c r="O24" s="36"/>
      <c r="P24" s="44">
        <v>12</v>
      </c>
      <c r="Q24" s="45">
        <v>150</v>
      </c>
      <c r="S24">
        <f>H24*H25*H26/1000000</f>
        <v>5.3999999999999999E-2</v>
      </c>
      <c r="T24" s="13" t="s">
        <v>83</v>
      </c>
      <c r="U24">
        <f>S24*U13</f>
        <v>1.4039999999999999</v>
      </c>
      <c r="V24" s="13" t="s">
        <v>82</v>
      </c>
      <c r="W24" s="3">
        <f>U24*F26*L23</f>
        <v>0</v>
      </c>
      <c r="X24" s="13" t="s">
        <v>82</v>
      </c>
      <c r="Y24" s="13">
        <f>N25+N32</f>
        <v>0</v>
      </c>
      <c r="Z24" s="3">
        <f>IF(Y24&gt;120,120,Y24)</f>
        <v>0</v>
      </c>
      <c r="AB24" s="3">
        <f>W25*Z25*L23</f>
        <v>0</v>
      </c>
      <c r="AD24" s="69">
        <f>Z24/40</f>
        <v>0</v>
      </c>
      <c r="AE24" s="69"/>
      <c r="AF24" s="66">
        <f>W24*N26/(2*100)</f>
        <v>0</v>
      </c>
      <c r="AG24" s="3">
        <f>AD24*$AG$11*W24/100</f>
        <v>0</v>
      </c>
      <c r="AH24" s="3">
        <f>AB24*$AH$11*Z24/100000</f>
        <v>0</v>
      </c>
      <c r="AI24" s="66">
        <f>AH24+AG24-AF24</f>
        <v>0</v>
      </c>
      <c r="AJ24" s="66">
        <f>AI24*100*2/H26</f>
        <v>0</v>
      </c>
      <c r="AK24" s="3">
        <f>N26</f>
        <v>0</v>
      </c>
    </row>
    <row r="25" spans="1:49" ht="15.75" x14ac:dyDescent="0.3">
      <c r="A25" s="26">
        <v>22</v>
      </c>
      <c r="B25" s="37" t="s">
        <v>13</v>
      </c>
      <c r="C25" s="5">
        <f>W16*100</f>
        <v>0</v>
      </c>
      <c r="D25" s="13" t="s">
        <v>12</v>
      </c>
      <c r="E25" s="26">
        <f>IF($L$23=0,0,IF($H$25&lt;=0,1,0))</f>
        <v>0</v>
      </c>
      <c r="F25" s="13" t="s">
        <v>101</v>
      </c>
      <c r="G25" s="37" t="s">
        <v>8</v>
      </c>
      <c r="H25" s="21">
        <v>90</v>
      </c>
      <c r="I25" s="13" t="s">
        <v>0</v>
      </c>
      <c r="K25" s="47">
        <f>IF(N25&lt;P25,1,0)</f>
        <v>1</v>
      </c>
      <c r="L25" s="47">
        <f>IF(N25&gt;Q25,1,0)</f>
        <v>0</v>
      </c>
      <c r="M25" s="48"/>
      <c r="N25" s="47">
        <f>H25*L23</f>
        <v>0</v>
      </c>
      <c r="O25" s="36"/>
      <c r="P25" s="44">
        <v>30</v>
      </c>
      <c r="Q25" s="65">
        <f>IF(H26&lt;=$T$6,$W$6,IF(H26&lt;=$T$7,$W$7,IF(H26&lt;=$T$8,$W$8,160)))</f>
        <v>90</v>
      </c>
      <c r="W25">
        <f>IF(Z24&lt;70,1,IF(W24&lt;=0.75,0.6,1))</f>
        <v>1</v>
      </c>
      <c r="Z25">
        <f>IF(Z24&lt;50,200,IF(Z24&lt;70,300,500))</f>
        <v>200</v>
      </c>
    </row>
    <row r="26" spans="1:49" ht="16.5" thickBot="1" x14ac:dyDescent="0.35">
      <c r="A26" s="26">
        <v>23</v>
      </c>
      <c r="B26" s="37" t="s">
        <v>14</v>
      </c>
      <c r="C26" s="5">
        <f>W20*100</f>
        <v>0</v>
      </c>
      <c r="D26" s="13" t="s">
        <v>12</v>
      </c>
      <c r="E26" s="26">
        <f>IF($L$23=0,0,IF($H$26&lt;=0,1,0))</f>
        <v>0</v>
      </c>
      <c r="F26" s="165">
        <v>1</v>
      </c>
      <c r="G26" s="37" t="s">
        <v>7</v>
      </c>
      <c r="H26" s="21">
        <v>10</v>
      </c>
      <c r="I26" s="13" t="s">
        <v>0</v>
      </c>
      <c r="K26" s="47">
        <f>IF(N26&lt;P26,1,0)</f>
        <v>1</v>
      </c>
      <c r="L26" s="47">
        <f>IF(N26&gt;Q26,1,0)</f>
        <v>0</v>
      </c>
      <c r="M26" s="48"/>
      <c r="N26" s="47">
        <f>H26*L23</f>
        <v>0</v>
      </c>
      <c r="O26" s="36"/>
      <c r="P26" s="44">
        <v>8</v>
      </c>
      <c r="Q26" s="45">
        <v>34</v>
      </c>
    </row>
    <row r="27" spans="1:49" ht="16.5" thickBot="1" x14ac:dyDescent="0.35">
      <c r="A27" s="26">
        <v>24</v>
      </c>
      <c r="B27" s="37" t="s">
        <v>15</v>
      </c>
      <c r="C27" s="5">
        <f>W24*100</f>
        <v>0</v>
      </c>
      <c r="D27" s="13" t="s">
        <v>12</v>
      </c>
      <c r="E27" s="26"/>
      <c r="F27" s="26">
        <f>IF($L$23&lt;1,0,IF($F$26&lt;=0,1,0))</f>
        <v>0</v>
      </c>
      <c r="G27" s="3" t="s">
        <v>17</v>
      </c>
      <c r="H27" s="13"/>
      <c r="I27" s="13"/>
      <c r="K27" s="46"/>
      <c r="L27" s="48"/>
      <c r="M27" s="48"/>
      <c r="N27" s="48"/>
      <c r="O27" s="36"/>
      <c r="P27" s="36"/>
      <c r="V27" s="13" t="s">
        <v>107</v>
      </c>
      <c r="Z27" s="58">
        <f>MAX(Z16,Z20,Z24)</f>
        <v>0</v>
      </c>
      <c r="AB27" s="58">
        <f>MAX(AB16:AB24)</f>
        <v>0</v>
      </c>
      <c r="AI27" s="58">
        <f>MAX(AI16:AI24)</f>
        <v>0</v>
      </c>
      <c r="AJ27" s="161">
        <f>MAX(AJ16:AJ24)</f>
        <v>0</v>
      </c>
      <c r="AK27" s="58">
        <f>IF(D4=0,0,IF(D4=1,AK16,IF(D4=2,MIN(AK16,AK20),MIN(AK16,AK20,AK24))))</f>
        <v>0</v>
      </c>
    </row>
    <row r="28" spans="1:49" ht="16.5" thickBot="1" x14ac:dyDescent="0.35">
      <c r="A28" s="26">
        <v>25</v>
      </c>
      <c r="B28" s="37" t="s">
        <v>16</v>
      </c>
      <c r="C28" s="6">
        <f>SUM(C25:C27)</f>
        <v>0</v>
      </c>
      <c r="D28" s="38" t="s">
        <v>12</v>
      </c>
      <c r="E28" s="26"/>
      <c r="F28" s="13"/>
      <c r="G28" s="37" t="s">
        <v>21</v>
      </c>
      <c r="H28" s="3">
        <f>Z27</f>
        <v>0</v>
      </c>
      <c r="I28" s="13" t="s">
        <v>0</v>
      </c>
      <c r="K28" s="46"/>
      <c r="L28" s="48"/>
      <c r="M28" s="48"/>
      <c r="N28" s="48"/>
      <c r="O28" s="36"/>
      <c r="P28" s="36"/>
      <c r="AJ28" s="13" t="s">
        <v>103</v>
      </c>
      <c r="AK28" s="58">
        <f>MAX(AK16,AK20,AK24,)</f>
        <v>0</v>
      </c>
      <c r="AM28" s="280" t="s">
        <v>210</v>
      </c>
      <c r="AN28" s="280"/>
      <c r="AO28" s="280"/>
    </row>
    <row r="29" spans="1:49" ht="13.5" thickBot="1" x14ac:dyDescent="0.25">
      <c r="A29" s="26">
        <v>26</v>
      </c>
      <c r="B29" s="13"/>
      <c r="C29" s="13"/>
      <c r="D29" s="3" t="str">
        <f>IF(D30&gt;1,"maximal 1 Teil","")</f>
        <v/>
      </c>
      <c r="E29" s="26"/>
      <c r="F29" s="13"/>
      <c r="G29" s="39" t="s">
        <v>25</v>
      </c>
      <c r="H29" s="3">
        <f>AK27</f>
        <v>0</v>
      </c>
      <c r="I29" s="13" t="s">
        <v>0</v>
      </c>
      <c r="K29" s="46"/>
      <c r="L29" s="48"/>
      <c r="M29" s="48"/>
      <c r="N29" s="48"/>
      <c r="O29" s="36"/>
      <c r="P29" s="36"/>
      <c r="AM29" s="281" t="s">
        <v>226</v>
      </c>
      <c r="AN29" s="281"/>
      <c r="AO29" s="281"/>
      <c r="AP29" s="281"/>
      <c r="AQ29" s="281"/>
      <c r="AR29" s="281"/>
      <c r="AW29" s="93">
        <f>B33</f>
        <v>0</v>
      </c>
    </row>
    <row r="30" spans="1:49" ht="14.25" thickTop="1" thickBot="1" x14ac:dyDescent="0.25">
      <c r="A30" s="26">
        <v>27</v>
      </c>
      <c r="B30" s="28" t="s">
        <v>94</v>
      </c>
      <c r="C30" s="20">
        <v>1</v>
      </c>
      <c r="D30" s="26">
        <f>C30</f>
        <v>1</v>
      </c>
      <c r="E30" s="26"/>
      <c r="F30" s="13"/>
      <c r="G30" s="299" t="s">
        <v>19</v>
      </c>
      <c r="H30" s="300"/>
      <c r="I30" s="13"/>
      <c r="K30" s="46">
        <f>L30*(K31+L31+K32+L32+K33+L33)</f>
        <v>0</v>
      </c>
      <c r="L30" s="49">
        <f>C30*L4</f>
        <v>0</v>
      </c>
      <c r="M30" s="48"/>
      <c r="N30" s="48"/>
      <c r="O30" s="36"/>
      <c r="P30" s="36"/>
      <c r="S30" s="13" t="s">
        <v>63</v>
      </c>
      <c r="U30" s="13" t="s">
        <v>64</v>
      </c>
      <c r="AM30" s="281" t="s">
        <v>222</v>
      </c>
      <c r="AN30" s="281"/>
      <c r="AO30" s="281"/>
      <c r="AP30" s="281"/>
      <c r="AQ30" s="281"/>
      <c r="AR30" s="281"/>
      <c r="AW30" s="93">
        <f>K30</f>
        <v>0</v>
      </c>
    </row>
    <row r="31" spans="1:49" ht="16.5" thickTop="1" x14ac:dyDescent="0.3">
      <c r="A31" s="26">
        <v>28</v>
      </c>
      <c r="B31" s="140">
        <f>IF(C30="",1,0)</f>
        <v>0</v>
      </c>
      <c r="C31" s="26">
        <f>IF(OR(D30=0,D4=0),0,1)</f>
        <v>0</v>
      </c>
      <c r="D31" s="26">
        <f>IF(B31=1,1,0)</f>
        <v>0</v>
      </c>
      <c r="E31" s="26">
        <f>IF($L$30=0,0,IF($H$31&lt;=0,1,0))</f>
        <v>0</v>
      </c>
      <c r="F31" s="13"/>
      <c r="G31" s="37" t="s">
        <v>93</v>
      </c>
      <c r="H31" s="21">
        <v>120</v>
      </c>
      <c r="I31" s="13" t="s">
        <v>0</v>
      </c>
      <c r="K31" s="47">
        <f>IF(N31&lt;P31,1,0)</f>
        <v>1</v>
      </c>
      <c r="L31" s="47">
        <f>IF(N31&gt;Q31,1,0)</f>
        <v>0</v>
      </c>
      <c r="M31" s="48"/>
      <c r="N31" s="47">
        <f>H31*L30</f>
        <v>0</v>
      </c>
      <c r="O31" s="36"/>
      <c r="P31" s="44">
        <v>30</v>
      </c>
      <c r="Q31" s="45">
        <v>240</v>
      </c>
      <c r="S31">
        <f>H31*H32*H33/1000000</f>
        <v>0.09</v>
      </c>
      <c r="T31" s="13" t="s">
        <v>83</v>
      </c>
      <c r="U31">
        <f>S31*U13</f>
        <v>2.34</v>
      </c>
      <c r="V31" s="13" t="s">
        <v>82</v>
      </c>
      <c r="W31">
        <f>U31*1*L30</f>
        <v>0</v>
      </c>
      <c r="X31" s="13" t="s">
        <v>82</v>
      </c>
      <c r="Y31" s="13"/>
      <c r="AM31" s="281" t="s">
        <v>223</v>
      </c>
      <c r="AN31" s="281"/>
      <c r="AO31" s="281"/>
      <c r="AP31" s="281"/>
      <c r="AQ31" s="281"/>
      <c r="AR31" s="281"/>
      <c r="AW31" s="93">
        <f>B33+E31+E32+E33</f>
        <v>0</v>
      </c>
    </row>
    <row r="32" spans="1:49" ht="15.75" x14ac:dyDescent="0.3">
      <c r="A32" s="26">
        <v>29</v>
      </c>
      <c r="B32" s="37" t="s">
        <v>26</v>
      </c>
      <c r="C32" s="295" t="s">
        <v>394</v>
      </c>
      <c r="D32" s="296"/>
      <c r="E32" s="26">
        <f>IF($L$30=0,0,IF($H$32&lt;=0,1,0))</f>
        <v>0</v>
      </c>
      <c r="F32" s="13"/>
      <c r="G32" s="37" t="s">
        <v>10</v>
      </c>
      <c r="H32" s="21">
        <v>30</v>
      </c>
      <c r="I32" s="13" t="s">
        <v>0</v>
      </c>
      <c r="K32" s="47">
        <f>IF(N32&lt;P32,1,0)</f>
        <v>1</v>
      </c>
      <c r="L32" s="47">
        <f>IF(N32&gt;Q32,1,0)</f>
        <v>0</v>
      </c>
      <c r="M32" s="48"/>
      <c r="N32" s="47">
        <f>H32*L30</f>
        <v>0</v>
      </c>
      <c r="O32" s="36"/>
      <c r="P32" s="44">
        <v>10</v>
      </c>
      <c r="Q32" s="45">
        <v>40</v>
      </c>
    </row>
    <row r="33" spans="1:25" ht="15.75" x14ac:dyDescent="0.3">
      <c r="A33" s="26">
        <v>30</v>
      </c>
      <c r="B33" s="26">
        <f>IF($C$31=0,0,IF($C$32&lt;=0,1,0))</f>
        <v>0</v>
      </c>
      <c r="C33" s="297" t="s">
        <v>17</v>
      </c>
      <c r="D33" s="298"/>
      <c r="E33" s="26">
        <f>IF($L$30=0,0,IF($H$33&lt;=0,1,0))</f>
        <v>0</v>
      </c>
      <c r="F33" s="13"/>
      <c r="G33" s="37" t="s">
        <v>9</v>
      </c>
      <c r="H33" s="21">
        <v>25</v>
      </c>
      <c r="I33" s="13" t="s">
        <v>0</v>
      </c>
      <c r="K33" s="47">
        <f>IF(N33&lt;P33,1,0)</f>
        <v>1</v>
      </c>
      <c r="L33" s="47">
        <f>IF(N33&gt;Q33,1,0)</f>
        <v>0</v>
      </c>
      <c r="M33" s="48"/>
      <c r="N33" s="47">
        <f>H33*L30</f>
        <v>0</v>
      </c>
      <c r="O33" s="36"/>
      <c r="P33" s="44">
        <v>12</v>
      </c>
      <c r="Q33" s="45">
        <v>34</v>
      </c>
    </row>
    <row r="34" spans="1:25" ht="15.75" x14ac:dyDescent="0.3">
      <c r="A34" s="26">
        <v>31</v>
      </c>
      <c r="B34" s="37" t="s">
        <v>20</v>
      </c>
      <c r="C34" s="5">
        <f>W31*100</f>
        <v>0</v>
      </c>
      <c r="D34" s="13" t="s">
        <v>12</v>
      </c>
      <c r="E34" s="13"/>
      <c r="F34" s="13"/>
      <c r="G34" s="3" t="s">
        <v>17</v>
      </c>
      <c r="H34" s="13"/>
      <c r="I34" s="13"/>
      <c r="L34" s="36"/>
      <c r="M34" s="36"/>
      <c r="N34" s="36"/>
      <c r="O34" s="36"/>
      <c r="P34" s="36"/>
    </row>
    <row r="35" spans="1:25" ht="15.75" x14ac:dyDescent="0.3">
      <c r="A35" s="26">
        <v>32</v>
      </c>
      <c r="B35" s="37" t="s">
        <v>16</v>
      </c>
      <c r="C35" s="6">
        <f>C34+C28</f>
        <v>0</v>
      </c>
      <c r="D35" s="38" t="s">
        <v>12</v>
      </c>
      <c r="E35" s="13"/>
      <c r="F35" s="13"/>
      <c r="G35" s="13"/>
      <c r="H35" s="13"/>
      <c r="I35" s="13"/>
      <c r="K35" s="74">
        <f>IF(K30+K23+K19+K15&gt;0,1,0)</f>
        <v>0</v>
      </c>
      <c r="L35" s="36"/>
      <c r="M35" s="293" t="s">
        <v>151</v>
      </c>
      <c r="N35" s="294"/>
      <c r="O35" s="294"/>
      <c r="P35" s="294"/>
      <c r="Q35" s="294"/>
    </row>
    <row r="36" spans="1:25" x14ac:dyDescent="0.2">
      <c r="A36" s="26">
        <v>33</v>
      </c>
      <c r="B36" s="37"/>
      <c r="C36" s="8"/>
      <c r="D36" s="41"/>
      <c r="E36" s="13"/>
      <c r="F36" s="13"/>
      <c r="G36" s="13"/>
      <c r="H36" s="13"/>
      <c r="I36" s="13"/>
      <c r="L36" s="36"/>
      <c r="M36" s="36"/>
      <c r="N36" s="36"/>
      <c r="O36" s="36"/>
      <c r="P36" s="36"/>
    </row>
    <row r="37" spans="1:25" x14ac:dyDescent="0.2">
      <c r="A37" s="26">
        <v>34</v>
      </c>
      <c r="B37" s="37"/>
      <c r="C37" s="8"/>
      <c r="D37" s="41"/>
      <c r="E37" s="13"/>
      <c r="F37" s="13"/>
      <c r="G37" s="13"/>
      <c r="H37" s="13"/>
      <c r="I37" s="13"/>
      <c r="L37" s="36"/>
      <c r="M37" s="36"/>
      <c r="N37" s="36"/>
      <c r="O37" s="36"/>
      <c r="P37" s="36"/>
    </row>
    <row r="38" spans="1:25" x14ac:dyDescent="0.2">
      <c r="A38" s="26"/>
      <c r="B38" s="284" t="s">
        <v>144</v>
      </c>
      <c r="C38" s="284"/>
      <c r="D38" s="3">
        <f>Z27</f>
        <v>0</v>
      </c>
      <c r="E38" s="13" t="s">
        <v>0</v>
      </c>
      <c r="F38" s="13"/>
      <c r="G38" s="39" t="s">
        <v>133</v>
      </c>
      <c r="H38" s="3">
        <f>AB27</f>
        <v>0</v>
      </c>
      <c r="I38" s="13" t="s">
        <v>124</v>
      </c>
      <c r="L38" s="36"/>
      <c r="M38" s="36"/>
      <c r="N38" s="36"/>
      <c r="O38" s="36"/>
      <c r="P38" s="36"/>
    </row>
    <row r="39" spans="1:25" ht="13.5" thickBot="1" x14ac:dyDescent="0.25">
      <c r="A39" s="26">
        <v>6</v>
      </c>
      <c r="B39" s="42"/>
      <c r="C39" s="42"/>
      <c r="D39" s="3"/>
      <c r="E39" s="13"/>
      <c r="F39" s="13"/>
      <c r="G39" s="39"/>
      <c r="H39" s="3"/>
      <c r="I39" s="13"/>
      <c r="K39" s="27">
        <v>200</v>
      </c>
      <c r="L39" s="304" t="s">
        <v>125</v>
      </c>
      <c r="M39" s="304"/>
      <c r="N39" s="304"/>
      <c r="O39" s="304"/>
      <c r="P39" s="304"/>
      <c r="Q39" s="304"/>
      <c r="R39" s="27">
        <v>200</v>
      </c>
      <c r="S39" s="304" t="s">
        <v>128</v>
      </c>
      <c r="T39" s="304"/>
      <c r="U39" s="304"/>
      <c r="V39" s="304"/>
      <c r="W39" s="304"/>
      <c r="X39" s="304"/>
      <c r="Y39" s="68"/>
    </row>
    <row r="40" spans="1:25" ht="16.5" thickTop="1" x14ac:dyDescent="0.25">
      <c r="A40" s="26">
        <v>8</v>
      </c>
      <c r="B40" s="56"/>
      <c r="C40" s="307" t="str">
        <f>IF(H38=200,L39,IF(H38=300,L40,L41))</f>
        <v>Abnahmeprüfung erforderlich</v>
      </c>
      <c r="D40" s="308"/>
      <c r="E40" s="308"/>
      <c r="F40" s="308"/>
      <c r="G40" s="308"/>
      <c r="H40" s="309"/>
      <c r="I40" s="13"/>
      <c r="K40" s="27">
        <v>300</v>
      </c>
      <c r="L40" s="304" t="s">
        <v>125</v>
      </c>
      <c r="M40" s="304"/>
      <c r="N40" s="304"/>
      <c r="O40" s="304"/>
      <c r="P40" s="304"/>
      <c r="Q40" s="304"/>
      <c r="R40" s="27">
        <v>300</v>
      </c>
      <c r="S40" s="304" t="s">
        <v>126</v>
      </c>
      <c r="T40" s="304"/>
      <c r="U40" s="304"/>
      <c r="V40" s="304"/>
      <c r="W40" s="304"/>
      <c r="X40" s="304"/>
      <c r="Y40" s="68"/>
    </row>
    <row r="41" spans="1:25" ht="16.5" thickBot="1" x14ac:dyDescent="0.3">
      <c r="A41" s="26">
        <v>10</v>
      </c>
      <c r="B41" s="56"/>
      <c r="C41" s="289" t="str">
        <f>IF(H38=200,S39,IF(H38=300,S40,S41))</f>
        <v>Last-Zeit-Diagramm einreichen</v>
      </c>
      <c r="D41" s="290"/>
      <c r="E41" s="290"/>
      <c r="F41" s="290"/>
      <c r="G41" s="290"/>
      <c r="H41" s="291"/>
      <c r="I41" s="13"/>
      <c r="K41" s="27">
        <v>500</v>
      </c>
      <c r="L41" s="304" t="s">
        <v>127</v>
      </c>
      <c r="M41" s="304"/>
      <c r="N41" s="304"/>
      <c r="O41" s="304"/>
      <c r="P41" s="304"/>
      <c r="Q41" s="304"/>
      <c r="R41" s="27">
        <v>500</v>
      </c>
      <c r="S41" s="304" t="s">
        <v>129</v>
      </c>
      <c r="T41" s="304"/>
      <c r="U41" s="304"/>
      <c r="V41" s="304"/>
      <c r="W41" s="304"/>
      <c r="X41" s="304"/>
      <c r="Y41" s="68"/>
    </row>
    <row r="42" spans="1:25" ht="13.5" thickTop="1" x14ac:dyDescent="0.2">
      <c r="A42" s="26">
        <v>12</v>
      </c>
      <c r="B42" s="56"/>
      <c r="C42" s="56"/>
      <c r="D42" s="3"/>
      <c r="E42" s="13"/>
      <c r="F42" s="13"/>
      <c r="G42" s="39"/>
      <c r="H42" s="3"/>
      <c r="I42" s="13"/>
      <c r="L42" s="36"/>
      <c r="M42" s="36"/>
      <c r="N42" s="36"/>
      <c r="O42" s="36"/>
      <c r="P42" s="36"/>
    </row>
    <row r="43" spans="1:25" ht="15.75" x14ac:dyDescent="0.25">
      <c r="A43" s="26">
        <v>14</v>
      </c>
      <c r="B43" s="56"/>
      <c r="C43" s="288" t="s">
        <v>150</v>
      </c>
      <c r="D43" s="288"/>
      <c r="E43" s="288"/>
      <c r="F43" s="288"/>
      <c r="G43" s="288"/>
      <c r="H43" s="288"/>
      <c r="I43" s="13"/>
      <c r="L43" s="36"/>
      <c r="M43" s="36"/>
      <c r="N43" s="36"/>
      <c r="O43" s="36"/>
      <c r="P43" s="36"/>
    </row>
    <row r="44" spans="1:25" x14ac:dyDescent="0.2">
      <c r="A44" s="26">
        <v>16</v>
      </c>
      <c r="B44" s="56"/>
      <c r="C44" s="56"/>
      <c r="D44" s="3"/>
      <c r="E44" s="13"/>
      <c r="F44" s="13"/>
      <c r="G44" s="39"/>
      <c r="H44" s="3"/>
      <c r="I44" s="13"/>
      <c r="L44" s="36"/>
      <c r="M44" s="36"/>
      <c r="N44" s="36"/>
      <c r="O44" s="36"/>
      <c r="P44" s="36"/>
    </row>
    <row r="45" spans="1:25" x14ac:dyDescent="0.2">
      <c r="A45" s="26">
        <v>20</v>
      </c>
      <c r="B45" s="56"/>
      <c r="C45" s="56"/>
      <c r="D45" s="3"/>
      <c r="E45" s="13"/>
      <c r="F45" s="13"/>
      <c r="G45" s="39"/>
      <c r="H45" s="3"/>
      <c r="I45" s="13"/>
      <c r="L45" s="36"/>
      <c r="M45" s="36"/>
      <c r="N45" s="36"/>
      <c r="O45" s="36"/>
      <c r="P45" s="36"/>
    </row>
    <row r="46" spans="1:25" x14ac:dyDescent="0.2">
      <c r="A46" s="26">
        <v>25</v>
      </c>
      <c r="B46" s="56"/>
      <c r="C46" s="54"/>
      <c r="D46" s="54"/>
      <c r="E46" s="13"/>
      <c r="F46" s="13"/>
      <c r="G46" s="39"/>
      <c r="H46" s="3"/>
      <c r="I46" s="13"/>
      <c r="L46" s="36"/>
      <c r="M46" s="36"/>
      <c r="N46" s="36"/>
      <c r="O46" s="36"/>
      <c r="P46" s="36"/>
    </row>
    <row r="47" spans="1:25" x14ac:dyDescent="0.2">
      <c r="A47" s="81">
        <v>28</v>
      </c>
      <c r="B47" s="13"/>
      <c r="C47" s="305"/>
      <c r="D47" s="293"/>
      <c r="E47" s="37"/>
      <c r="F47" s="37"/>
      <c r="G47" s="182" t="str">
        <f>Lizenznehmer!D98</f>
        <v>11903072</v>
      </c>
      <c r="H47" s="13"/>
      <c r="I47" s="13"/>
      <c r="L47" s="36"/>
      <c r="M47" s="36"/>
      <c r="N47" s="36"/>
      <c r="O47" s="36"/>
      <c r="P47" s="36"/>
    </row>
    <row r="48" spans="1:25" x14ac:dyDescent="0.2">
      <c r="B48" s="13"/>
      <c r="C48" s="35"/>
      <c r="D48" s="43"/>
      <c r="E48" s="13"/>
      <c r="F48" s="13"/>
      <c r="G48" s="13"/>
      <c r="H48" s="13"/>
      <c r="I48" s="13"/>
      <c r="L48" s="36"/>
      <c r="M48" s="36"/>
      <c r="N48" s="36"/>
      <c r="O48" s="36"/>
      <c r="P48" s="36"/>
    </row>
    <row r="49" spans="2:41" x14ac:dyDescent="0.2">
      <c r="B49" s="26">
        <f>B47+B45+B43+B33+B24+E16+E17+E18+E20+E21+E22+E24+E25+E26+E31+E32+E33+I43+I45+F19+F23+F27</f>
        <v>0</v>
      </c>
      <c r="C49" s="80" t="s">
        <v>27</v>
      </c>
      <c r="D49" s="79">
        <f>B49</f>
        <v>0</v>
      </c>
      <c r="E49" s="286" t="s">
        <v>28</v>
      </c>
      <c r="F49" s="286"/>
      <c r="G49" s="286"/>
      <c r="H49" s="13"/>
      <c r="I49" s="13"/>
      <c r="L49" s="36"/>
      <c r="M49" s="36"/>
      <c r="N49" s="36"/>
      <c r="O49" s="36"/>
      <c r="P49" s="36"/>
    </row>
    <row r="50" spans="2:41" ht="13.5" x14ac:dyDescent="0.25">
      <c r="B50" s="13"/>
      <c r="C50" s="13"/>
      <c r="D50" s="13"/>
      <c r="E50" s="13"/>
      <c r="F50" s="13"/>
      <c r="G50" s="31">
        <f>Lizenznehmer!H98</f>
        <v>43541</v>
      </c>
      <c r="H50" s="163" t="s">
        <v>59</v>
      </c>
      <c r="I50" s="163"/>
      <c r="L50" s="36"/>
      <c r="M50" s="36"/>
      <c r="N50" s="36"/>
      <c r="O50" s="36"/>
      <c r="P50" s="36"/>
    </row>
    <row r="51" spans="2:41" x14ac:dyDescent="0.2">
      <c r="B51" s="13"/>
      <c r="C51" s="13"/>
      <c r="D51" s="13"/>
      <c r="E51" s="13"/>
      <c r="F51" s="13"/>
      <c r="G51" s="13"/>
      <c r="H51" s="13"/>
      <c r="I51" s="13"/>
      <c r="N51" s="26"/>
    </row>
    <row r="52" spans="2:41" x14ac:dyDescent="0.2">
      <c r="B52" s="301" t="str">
        <f>B1</f>
        <v>Friedhofsverwaltung</v>
      </c>
      <c r="C52" s="301"/>
      <c r="D52" s="301"/>
      <c r="E52" s="301"/>
      <c r="F52" s="55"/>
      <c r="G52" s="281" t="str">
        <f>G1</f>
        <v>Tel.: 06074 911360</v>
      </c>
      <c r="H52" s="281"/>
      <c r="I52" s="177" t="s">
        <v>305</v>
      </c>
    </row>
    <row r="53" spans="2:41" ht="13.5" thickBot="1" x14ac:dyDescent="0.25">
      <c r="B53" s="292" t="str">
        <f>B2</f>
        <v>63322 Rödermark, Dieburger Straße 13-17</v>
      </c>
      <c r="C53" s="292"/>
      <c r="D53" s="292"/>
      <c r="E53" s="292"/>
      <c r="F53" s="57"/>
      <c r="G53" s="303" t="str">
        <f>G2</f>
        <v>Fax: 06074 91 11 360</v>
      </c>
      <c r="H53" s="303"/>
      <c r="I53" s="179">
        <v>2</v>
      </c>
    </row>
    <row r="54" spans="2:41" ht="13.5" thickTop="1" x14ac:dyDescent="0.2"/>
    <row r="55" spans="2:41" x14ac:dyDescent="0.2">
      <c r="J55" s="13" t="s">
        <v>211</v>
      </c>
      <c r="L55" s="49">
        <f>L4</f>
        <v>0</v>
      </c>
      <c r="N55" s="13" t="s">
        <v>33</v>
      </c>
      <c r="AM55" s="62"/>
    </row>
    <row r="56" spans="2:41" x14ac:dyDescent="0.2">
      <c r="B56" s="28"/>
      <c r="C56" s="28" t="s">
        <v>108</v>
      </c>
      <c r="D56" s="20">
        <v>3</v>
      </c>
      <c r="E56" s="37" t="s">
        <v>112</v>
      </c>
      <c r="F56" s="282" t="s">
        <v>142</v>
      </c>
      <c r="G56" s="282"/>
      <c r="H56" s="282"/>
      <c r="I56" s="26">
        <f>IF($L$4&lt;1,0,IF($F$56&lt;=0,1,0))</f>
        <v>0</v>
      </c>
      <c r="J56" s="27">
        <f>I56*L55</f>
        <v>0</v>
      </c>
      <c r="L56" s="49">
        <f>L30</f>
        <v>0</v>
      </c>
      <c r="N56" s="13" t="s">
        <v>18</v>
      </c>
      <c r="S56" s="13" t="s">
        <v>115</v>
      </c>
      <c r="V56" s="70">
        <v>0.4</v>
      </c>
      <c r="W56" t="s">
        <v>137</v>
      </c>
      <c r="Z56" s="280" t="s">
        <v>210</v>
      </c>
      <c r="AA56" s="280"/>
      <c r="AB56" s="280"/>
      <c r="AM56" s="62"/>
    </row>
    <row r="57" spans="2:41" x14ac:dyDescent="0.2">
      <c r="B57" s="60" t="s">
        <v>121</v>
      </c>
      <c r="S57" s="13" t="s">
        <v>116</v>
      </c>
      <c r="V57" s="70">
        <v>0.15</v>
      </c>
      <c r="W57" t="s">
        <v>137</v>
      </c>
      <c r="Z57" s="281" t="s">
        <v>212</v>
      </c>
      <c r="AA57" s="281"/>
      <c r="AB57" s="281"/>
      <c r="AC57" s="281"/>
      <c r="AD57" s="281"/>
      <c r="AE57" s="281"/>
      <c r="AF57">
        <f>J56</f>
        <v>0</v>
      </c>
      <c r="AJ57" s="93">
        <f>AF57</f>
        <v>0</v>
      </c>
      <c r="AM57" s="62"/>
    </row>
    <row r="58" spans="2:41" ht="13.5" x14ac:dyDescent="0.25">
      <c r="L58" s="49">
        <f>IF(L56=0,(1*L55),0)</f>
        <v>0</v>
      </c>
      <c r="Z58" s="281" t="s">
        <v>214</v>
      </c>
      <c r="AA58" s="281"/>
      <c r="AB58" s="281"/>
      <c r="AC58" s="281"/>
      <c r="AD58" s="281"/>
      <c r="AE58" s="281"/>
      <c r="AF58">
        <f>J59</f>
        <v>0</v>
      </c>
      <c r="AG58">
        <f>J70</f>
        <v>0</v>
      </c>
      <c r="AH58">
        <f>J82</f>
        <v>0</v>
      </c>
      <c r="AJ58" s="93">
        <f>AF58+AG58+AH58</f>
        <v>0</v>
      </c>
      <c r="AM58" s="62"/>
      <c r="AN58" s="62"/>
      <c r="AO58" s="64"/>
    </row>
    <row r="59" spans="2:41" x14ac:dyDescent="0.2">
      <c r="E59" s="59" t="s">
        <v>113</v>
      </c>
      <c r="F59" s="282" t="s">
        <v>115</v>
      </c>
      <c r="G59" s="282"/>
      <c r="I59" s="26">
        <f>IF($L$58&lt;1,0,IF($F$59&lt;=0,1,0))</f>
        <v>0</v>
      </c>
      <c r="J59" s="27">
        <f>I59*L58</f>
        <v>0</v>
      </c>
      <c r="L59" s="47">
        <f>IF(F59=S56,1,0)</f>
        <v>1</v>
      </c>
      <c r="N59" s="67"/>
      <c r="S59" s="3" t="s">
        <v>135</v>
      </c>
      <c r="T59" s="66">
        <f>$AJ$27</f>
        <v>0</v>
      </c>
      <c r="Z59" s="281" t="s">
        <v>216</v>
      </c>
      <c r="AA59" s="281"/>
      <c r="AB59" s="281"/>
      <c r="AC59" s="281"/>
      <c r="AD59" s="281"/>
      <c r="AE59" s="281"/>
      <c r="AF59">
        <f>J62</f>
        <v>0</v>
      </c>
      <c r="AG59">
        <f>J73</f>
        <v>0</v>
      </c>
      <c r="AH59">
        <f>J85</f>
        <v>0</v>
      </c>
      <c r="AI59">
        <f>J90</f>
        <v>0</v>
      </c>
      <c r="AJ59" s="93">
        <f>AF59+AG59+AH59+AI59</f>
        <v>0</v>
      </c>
      <c r="AM59" s="62"/>
    </row>
    <row r="60" spans="2:41" x14ac:dyDescent="0.2">
      <c r="E60" s="59" t="s">
        <v>114</v>
      </c>
      <c r="F60" s="306" t="s">
        <v>116</v>
      </c>
      <c r="G60" s="306"/>
      <c r="I60" s="13"/>
      <c r="N60" s="67"/>
      <c r="R60" s="27">
        <f>F63/10</f>
        <v>1.2</v>
      </c>
      <c r="S60" s="3" t="s">
        <v>49</v>
      </c>
      <c r="T60" s="3">
        <f>IF(R60=0,0.1,R60)</f>
        <v>1.2</v>
      </c>
      <c r="U60" s="3" t="s">
        <v>0</v>
      </c>
      <c r="Z60" s="281" t="s">
        <v>213</v>
      </c>
      <c r="AA60" s="281"/>
      <c r="AB60" s="281"/>
      <c r="AC60" s="281"/>
      <c r="AD60" s="281"/>
      <c r="AE60" s="281"/>
      <c r="AF60">
        <f>J63</f>
        <v>0</v>
      </c>
      <c r="AG60">
        <f>J74</f>
        <v>0</v>
      </c>
      <c r="AH60">
        <f>J86</f>
        <v>0</v>
      </c>
      <c r="AI60">
        <f>J91</f>
        <v>0</v>
      </c>
      <c r="AJ60" s="93">
        <f>AF60+AG60+AH60+AI60</f>
        <v>0</v>
      </c>
      <c r="AM60" s="62"/>
    </row>
    <row r="61" spans="2:41" x14ac:dyDescent="0.2">
      <c r="E61" s="56"/>
      <c r="F61" s="56"/>
      <c r="G61" s="56"/>
      <c r="I61" s="13"/>
      <c r="S61" s="61" t="s">
        <v>136</v>
      </c>
      <c r="T61" s="3">
        <f>IF(L59=1,V56,V57)</f>
        <v>0.4</v>
      </c>
      <c r="U61" s="3" t="s">
        <v>137</v>
      </c>
      <c r="Z61" s="279" t="s">
        <v>228</v>
      </c>
      <c r="AA61" s="279"/>
      <c r="AB61" s="279"/>
      <c r="AC61" s="279"/>
      <c r="AD61" s="279"/>
      <c r="AE61" s="279"/>
      <c r="AF61">
        <f>L66</f>
        <v>0</v>
      </c>
      <c r="AG61">
        <f>L78</f>
        <v>0</v>
      </c>
      <c r="AH61">
        <f>L88</f>
        <v>0</v>
      </c>
      <c r="AI61" s="132">
        <f>L94</f>
        <v>0</v>
      </c>
      <c r="AJ61" s="93">
        <f>AF61+AG61+AH61+AI61</f>
        <v>0</v>
      </c>
    </row>
    <row r="62" spans="2:41" x14ac:dyDescent="0.2">
      <c r="D62" s="13" t="s">
        <v>119</v>
      </c>
      <c r="E62" s="39"/>
      <c r="F62" s="82">
        <v>1</v>
      </c>
      <c r="G62" s="13" t="s">
        <v>24</v>
      </c>
      <c r="H62" s="26">
        <f>IF(F62=0,1,F62)</f>
        <v>1</v>
      </c>
      <c r="I62" s="26">
        <f>IF($L$58&lt;1,0,IF($F$62&lt;=0,1,0))</f>
        <v>0</v>
      </c>
      <c r="J62" s="27">
        <f>I62*L58</f>
        <v>0</v>
      </c>
      <c r="L62" s="47">
        <f>IF(N62&lt;10,10,N62)</f>
        <v>10</v>
      </c>
      <c r="N62" s="71">
        <f>T59/(T60*T61*3.414*H62)</f>
        <v>0</v>
      </c>
      <c r="S62" s="61" t="s">
        <v>136</v>
      </c>
      <c r="T62" s="3">
        <f>$V$57</f>
        <v>0.15</v>
      </c>
      <c r="U62" s="3" t="s">
        <v>137</v>
      </c>
      <c r="Z62" s="279" t="s">
        <v>225</v>
      </c>
      <c r="AA62" s="279"/>
      <c r="AB62" s="279"/>
      <c r="AC62" s="279"/>
      <c r="AD62" s="279"/>
      <c r="AE62" s="279"/>
      <c r="AJ62" s="93">
        <f>AJ57+AJ58+AJ59+AJ60+K78+K88+K94+K66</f>
        <v>0</v>
      </c>
    </row>
    <row r="63" spans="2:41" x14ac:dyDescent="0.2">
      <c r="E63" s="37" t="s">
        <v>22</v>
      </c>
      <c r="F63" s="82">
        <v>12</v>
      </c>
      <c r="G63" s="13" t="s">
        <v>23</v>
      </c>
      <c r="I63" s="26">
        <f>IF($L$58&lt;1,0,IF($F$63&lt;=0,1,0))</f>
        <v>0</v>
      </c>
      <c r="J63" s="27">
        <f>I63*L58</f>
        <v>0</v>
      </c>
      <c r="L63" s="47">
        <f>IF(N63&lt;10,10,N63)</f>
        <v>10</v>
      </c>
      <c r="N63" s="47">
        <f>T59/(T60*T62*3.414*H62)</f>
        <v>0</v>
      </c>
    </row>
    <row r="64" spans="2:41" x14ac:dyDescent="0.2">
      <c r="E64" s="37" t="s">
        <v>109</v>
      </c>
      <c r="F64" s="72">
        <f>L62</f>
        <v>10</v>
      </c>
      <c r="G64" s="13" t="s">
        <v>0</v>
      </c>
      <c r="I64" s="13"/>
      <c r="L64" s="47">
        <f>L63+L62</f>
        <v>20</v>
      </c>
    </row>
    <row r="65" spans="2:21" x14ac:dyDescent="0.2">
      <c r="E65" s="37" t="s">
        <v>110</v>
      </c>
      <c r="F65" s="72">
        <f>L63</f>
        <v>10</v>
      </c>
      <c r="G65" s="13" t="s">
        <v>0</v>
      </c>
      <c r="I65" s="13"/>
    </row>
    <row r="66" spans="2:21" x14ac:dyDescent="0.2">
      <c r="D66" s="13"/>
      <c r="E66" s="39" t="s">
        <v>111</v>
      </c>
      <c r="F66" s="72">
        <f>L64</f>
        <v>20</v>
      </c>
      <c r="G66" s="13" t="s">
        <v>224</v>
      </c>
      <c r="H66" s="82">
        <v>25</v>
      </c>
      <c r="I66" s="13" t="s">
        <v>0</v>
      </c>
      <c r="J66" s="27">
        <f>IF(H66="",1,0)</f>
        <v>0</v>
      </c>
      <c r="K66" s="27">
        <f>J66*L58</f>
        <v>0</v>
      </c>
      <c r="L66" s="47">
        <f>H67*L58</f>
        <v>0</v>
      </c>
    </row>
    <row r="67" spans="2:21" x14ac:dyDescent="0.2">
      <c r="E67" s="13"/>
      <c r="H67" s="26">
        <f>IF(H66-F66&lt;0,1,0)</f>
        <v>0</v>
      </c>
      <c r="I67" s="13"/>
    </row>
    <row r="68" spans="2:21" x14ac:dyDescent="0.2">
      <c r="B68" s="60" t="s">
        <v>122</v>
      </c>
      <c r="I68" s="13"/>
    </row>
    <row r="69" spans="2:21" x14ac:dyDescent="0.2">
      <c r="I69" s="13"/>
      <c r="L69" s="49">
        <f>IF(L55*L56*D56=2,1,0)</f>
        <v>0</v>
      </c>
    </row>
    <row r="70" spans="2:21" x14ac:dyDescent="0.2">
      <c r="E70" s="59" t="s">
        <v>113</v>
      </c>
      <c r="F70" s="282"/>
      <c r="G70" s="282"/>
      <c r="I70" s="26">
        <f>IF($L$69&lt;1,0,IF($F$70&lt;=0,1,0))</f>
        <v>0</v>
      </c>
      <c r="J70" s="27">
        <f>I70*L69</f>
        <v>0</v>
      </c>
      <c r="L70" s="47">
        <f>IF(F70=S56,1,0)</f>
        <v>0</v>
      </c>
      <c r="N70" s="67"/>
      <c r="S70" s="3" t="s">
        <v>135</v>
      </c>
      <c r="T70" s="66">
        <f>$AJ$27</f>
        <v>0</v>
      </c>
    </row>
    <row r="71" spans="2:21" x14ac:dyDescent="0.2">
      <c r="E71" s="59" t="s">
        <v>114</v>
      </c>
      <c r="F71" s="306" t="s">
        <v>116</v>
      </c>
      <c r="G71" s="306"/>
      <c r="I71" s="13"/>
      <c r="N71" s="67"/>
      <c r="R71" s="27">
        <f>F74/10</f>
        <v>0</v>
      </c>
      <c r="S71" s="3" t="s">
        <v>49</v>
      </c>
      <c r="T71" s="3">
        <f>IF(R71=0,0.1,R71)</f>
        <v>0.1</v>
      </c>
      <c r="U71" s="3" t="s">
        <v>0</v>
      </c>
    </row>
    <row r="72" spans="2:21" x14ac:dyDescent="0.2">
      <c r="E72" s="56"/>
      <c r="F72" s="56"/>
      <c r="G72" s="56"/>
      <c r="I72" s="13"/>
      <c r="S72" s="61" t="s">
        <v>136</v>
      </c>
      <c r="T72" s="3">
        <f>IF(L70=1,V56,V57)</f>
        <v>0.15</v>
      </c>
      <c r="U72" s="3" t="s">
        <v>137</v>
      </c>
    </row>
    <row r="73" spans="2:21" x14ac:dyDescent="0.2">
      <c r="D73" s="13" t="s">
        <v>119</v>
      </c>
      <c r="E73" s="39"/>
      <c r="F73" s="82"/>
      <c r="G73" s="13" t="s">
        <v>24</v>
      </c>
      <c r="H73" s="26">
        <f>IF(F73=0,1,F73)</f>
        <v>1</v>
      </c>
      <c r="I73" s="26">
        <f>IF($L$69&lt;1,0,IF($F$73&lt;=0,1,0))</f>
        <v>0</v>
      </c>
      <c r="J73" s="27">
        <f>I73*L69</f>
        <v>0</v>
      </c>
      <c r="K73" s="13" t="s">
        <v>154</v>
      </c>
      <c r="L73" s="47">
        <f>IF(N73&lt;10,10,N73)</f>
        <v>10</v>
      </c>
      <c r="N73" s="71">
        <f>T70/(T71*T72*3.414*H73)</f>
        <v>0</v>
      </c>
      <c r="S73" s="61" t="s">
        <v>136</v>
      </c>
      <c r="T73" s="3">
        <f>$V$57</f>
        <v>0.15</v>
      </c>
      <c r="U73" s="3" t="s">
        <v>137</v>
      </c>
    </row>
    <row r="74" spans="2:21" x14ac:dyDescent="0.2">
      <c r="E74" s="37" t="s">
        <v>22</v>
      </c>
      <c r="F74" s="82"/>
      <c r="G74" s="13" t="s">
        <v>23</v>
      </c>
      <c r="I74" s="26">
        <f>IF($L$69&lt;1,0,IF($F$74&lt;=0,1,0))</f>
        <v>0</v>
      </c>
      <c r="J74" s="27">
        <f>I74*L69</f>
        <v>0</v>
      </c>
      <c r="K74" s="13" t="s">
        <v>155</v>
      </c>
      <c r="L74" s="47">
        <f>IF(N74&lt;10,10,N74)</f>
        <v>10</v>
      </c>
      <c r="N74" s="47">
        <f>T70/(T71*T73*3.414*H73)</f>
        <v>0</v>
      </c>
    </row>
    <row r="75" spans="2:21" x14ac:dyDescent="0.2">
      <c r="E75" s="37" t="s">
        <v>109</v>
      </c>
      <c r="F75" s="72">
        <f>L73</f>
        <v>10</v>
      </c>
      <c r="G75" s="13" t="s">
        <v>0</v>
      </c>
      <c r="I75" s="13"/>
      <c r="K75" s="13" t="s">
        <v>156</v>
      </c>
      <c r="L75" s="47">
        <f>H32</f>
        <v>30</v>
      </c>
    </row>
    <row r="76" spans="2:21" x14ac:dyDescent="0.2">
      <c r="E76" s="37" t="s">
        <v>110</v>
      </c>
      <c r="F76" s="72">
        <f>L74</f>
        <v>10</v>
      </c>
      <c r="G76" s="13" t="s">
        <v>0</v>
      </c>
      <c r="I76" s="13"/>
      <c r="L76" s="47">
        <f>SUM(L73:L75)</f>
        <v>50</v>
      </c>
    </row>
    <row r="77" spans="2:21" x14ac:dyDescent="0.2">
      <c r="D77" s="13"/>
      <c r="E77" s="39" t="s">
        <v>130</v>
      </c>
      <c r="F77" s="72">
        <f>L75</f>
        <v>30</v>
      </c>
      <c r="G77" s="13" t="s">
        <v>0</v>
      </c>
      <c r="I77" s="13"/>
    </row>
    <row r="78" spans="2:21" x14ac:dyDescent="0.2">
      <c r="E78" s="39" t="s">
        <v>111</v>
      </c>
      <c r="F78" s="72">
        <f>L76</f>
        <v>50</v>
      </c>
      <c r="G78" s="13" t="s">
        <v>224</v>
      </c>
      <c r="H78" s="82">
        <v>20</v>
      </c>
      <c r="I78" s="13" t="s">
        <v>0</v>
      </c>
      <c r="J78" s="27">
        <f>IF(H78="",1,0)</f>
        <v>0</v>
      </c>
      <c r="K78" s="27">
        <f>J78*L69</f>
        <v>0</v>
      </c>
      <c r="L78" s="47">
        <f>H79*L69</f>
        <v>0</v>
      </c>
    </row>
    <row r="79" spans="2:21" x14ac:dyDescent="0.2">
      <c r="H79" s="26">
        <f>IF(H78-F78&lt;0,1,0)</f>
        <v>1</v>
      </c>
      <c r="I79" s="13"/>
    </row>
    <row r="80" spans="2:21" x14ac:dyDescent="0.2">
      <c r="I80" s="13"/>
    </row>
    <row r="81" spans="2:21" x14ac:dyDescent="0.2">
      <c r="B81" s="60" t="s">
        <v>123</v>
      </c>
      <c r="I81" s="13"/>
      <c r="L81" s="49">
        <f>IF(L55*L56*D56=3,1,0)</f>
        <v>0</v>
      </c>
    </row>
    <row r="82" spans="2:21" x14ac:dyDescent="0.2">
      <c r="D82" s="284" t="s">
        <v>120</v>
      </c>
      <c r="E82" s="285"/>
      <c r="F82" s="282" t="s">
        <v>115</v>
      </c>
      <c r="G82" s="282"/>
      <c r="I82" s="26">
        <f>IF(F82="",1,0)</f>
        <v>0</v>
      </c>
      <c r="J82" s="27">
        <f>I82*L81</f>
        <v>0</v>
      </c>
      <c r="L82" s="47">
        <f>IF(F82=S56,1,0)</f>
        <v>1</v>
      </c>
      <c r="N82" s="67"/>
      <c r="S82" s="3" t="s">
        <v>135</v>
      </c>
      <c r="T82" s="66">
        <f>$AJ$27</f>
        <v>0</v>
      </c>
    </row>
    <row r="83" spans="2:21" x14ac:dyDescent="0.2">
      <c r="E83" s="59" t="s">
        <v>114</v>
      </c>
      <c r="F83" s="283" t="s">
        <v>116</v>
      </c>
      <c r="G83" s="283"/>
      <c r="I83" s="13"/>
      <c r="N83" s="67"/>
      <c r="R83" s="27">
        <f>F86/10</f>
        <v>1</v>
      </c>
      <c r="S83" s="13" t="s">
        <v>131</v>
      </c>
      <c r="T83" s="3">
        <f>IF(R83=0,0.1,R83)</f>
        <v>1</v>
      </c>
      <c r="U83" s="3" t="s">
        <v>0</v>
      </c>
    </row>
    <row r="84" spans="2:21" x14ac:dyDescent="0.2">
      <c r="E84" s="39" t="s">
        <v>130</v>
      </c>
      <c r="F84" s="3">
        <f>L84</f>
        <v>0</v>
      </c>
      <c r="G84" s="13" t="s">
        <v>0</v>
      </c>
      <c r="I84" s="13"/>
      <c r="K84" s="13" t="s">
        <v>43</v>
      </c>
      <c r="L84" s="47">
        <f>N32</f>
        <v>0</v>
      </c>
      <c r="S84" s="73" t="s">
        <v>136</v>
      </c>
      <c r="T84" s="3">
        <f>IF(L82=1,V56,V57)</f>
        <v>0.4</v>
      </c>
      <c r="U84" s="3" t="s">
        <v>137</v>
      </c>
    </row>
    <row r="85" spans="2:21" x14ac:dyDescent="0.2">
      <c r="D85" s="13" t="s">
        <v>119</v>
      </c>
      <c r="E85" s="39"/>
      <c r="F85" s="82">
        <v>1</v>
      </c>
      <c r="G85" s="13" t="s">
        <v>24</v>
      </c>
      <c r="H85" s="26">
        <f>IF(F85=0,1,F85)</f>
        <v>1</v>
      </c>
      <c r="I85" s="26">
        <f>IF(F85="",1,0)</f>
        <v>0</v>
      </c>
      <c r="J85" s="27">
        <f>I85*L81</f>
        <v>0</v>
      </c>
      <c r="L85" s="47">
        <f>IF(N85&lt;10,10,N85)</f>
        <v>10</v>
      </c>
      <c r="N85" s="71">
        <f>$T$82/(T83*$T$84*3.414*H85)</f>
        <v>0</v>
      </c>
      <c r="S85" s="73" t="s">
        <v>136</v>
      </c>
      <c r="T85" s="3">
        <f>$V$57</f>
        <v>0.15</v>
      </c>
      <c r="U85" s="3" t="s">
        <v>137</v>
      </c>
    </row>
    <row r="86" spans="2:21" x14ac:dyDescent="0.2">
      <c r="D86" s="13"/>
      <c r="E86" s="37" t="s">
        <v>118</v>
      </c>
      <c r="F86" s="82">
        <v>10</v>
      </c>
      <c r="G86" s="13" t="s">
        <v>23</v>
      </c>
      <c r="I86" s="26">
        <f>IF(F86="",1,0)</f>
        <v>0</v>
      </c>
      <c r="J86" s="27">
        <f>I86*L81</f>
        <v>0</v>
      </c>
      <c r="L86" s="47">
        <f>IF(N86&lt;10,10,N86)</f>
        <v>10</v>
      </c>
      <c r="N86" s="47">
        <f>T82/(T83*T85*3.414*H85)</f>
        <v>0</v>
      </c>
    </row>
    <row r="87" spans="2:21" x14ac:dyDescent="0.2">
      <c r="C87" s="26">
        <f>IF(F87&gt;F84,1,0)</f>
        <v>1</v>
      </c>
      <c r="E87" s="37" t="s">
        <v>109</v>
      </c>
      <c r="F87" s="72">
        <f>L85</f>
        <v>10</v>
      </c>
      <c r="G87" s="13" t="s">
        <v>0</v>
      </c>
      <c r="I87" s="13"/>
      <c r="L87" s="47"/>
      <c r="N87" s="47"/>
    </row>
    <row r="88" spans="2:21" x14ac:dyDescent="0.2">
      <c r="D88" s="13" t="s">
        <v>131</v>
      </c>
      <c r="E88" s="39" t="s">
        <v>111</v>
      </c>
      <c r="F88" s="72">
        <f>L85*2</f>
        <v>20</v>
      </c>
      <c r="G88" s="13" t="s">
        <v>224</v>
      </c>
      <c r="H88" s="82">
        <v>20</v>
      </c>
      <c r="I88" s="13" t="s">
        <v>0</v>
      </c>
      <c r="J88" s="27">
        <f>IF(H88="",1,0)</f>
        <v>0</v>
      </c>
      <c r="K88" s="27">
        <f>J88*L81</f>
        <v>0</v>
      </c>
      <c r="L88" s="47">
        <f>H89*L81</f>
        <v>0</v>
      </c>
      <c r="S88" s="13" t="s">
        <v>132</v>
      </c>
      <c r="T88" s="3">
        <f>F91/10</f>
        <v>1</v>
      </c>
      <c r="U88" s="3" t="s">
        <v>0</v>
      </c>
    </row>
    <row r="89" spans="2:21" ht="15" x14ac:dyDescent="0.25">
      <c r="E89" s="37"/>
      <c r="F89" s="3"/>
      <c r="G89" s="13"/>
      <c r="H89" s="26">
        <f>IF(H88&lt;F88,1,0)</f>
        <v>0</v>
      </c>
      <c r="I89" s="13"/>
      <c r="L89" s="47">
        <f>IF(N89&lt;10,10,N89)</f>
        <v>10</v>
      </c>
      <c r="N89" s="77">
        <f>$T$82/(T88*$T$84*3.414*H90)</f>
        <v>0</v>
      </c>
    </row>
    <row r="90" spans="2:21" ht="15" x14ac:dyDescent="0.25">
      <c r="D90" s="13" t="s">
        <v>119</v>
      </c>
      <c r="E90" s="39"/>
      <c r="F90" s="82">
        <v>2</v>
      </c>
      <c r="G90" s="13" t="s">
        <v>24</v>
      </c>
      <c r="H90" s="26">
        <f>IF(F90=0,1,F90)</f>
        <v>2</v>
      </c>
      <c r="I90" s="26">
        <f>IF(F90="",1,0)</f>
        <v>0</v>
      </c>
      <c r="J90" s="27">
        <f>I90*L81</f>
        <v>0</v>
      </c>
      <c r="L90" s="47">
        <f>IF(N90&lt;10,10,N90)</f>
        <v>10</v>
      </c>
      <c r="N90" s="77">
        <f>$T$82/(T88*$T$85*3.414*H90)</f>
        <v>0</v>
      </c>
    </row>
    <row r="91" spans="2:21" x14ac:dyDescent="0.2">
      <c r="D91" s="13"/>
      <c r="E91" s="37" t="s">
        <v>117</v>
      </c>
      <c r="F91" s="82">
        <v>10</v>
      </c>
      <c r="G91" s="13" t="s">
        <v>23</v>
      </c>
      <c r="I91" s="26">
        <f>IF(F91="",1,0)</f>
        <v>0</v>
      </c>
      <c r="J91" s="27">
        <f>I91*L81</f>
        <v>0</v>
      </c>
      <c r="L91" s="47">
        <f>SUM(L89:L90)</f>
        <v>20</v>
      </c>
      <c r="N91" s="47"/>
    </row>
    <row r="92" spans="2:21" x14ac:dyDescent="0.2">
      <c r="C92" s="26">
        <f>IF(F92&gt;F84,1,0)</f>
        <v>1</v>
      </c>
      <c r="E92" s="37" t="s">
        <v>110</v>
      </c>
      <c r="F92" s="72">
        <f>L89</f>
        <v>10</v>
      </c>
      <c r="G92" s="13" t="s">
        <v>0</v>
      </c>
      <c r="I92" s="13"/>
    </row>
    <row r="93" spans="2:21" x14ac:dyDescent="0.2">
      <c r="D93" s="13"/>
      <c r="E93" s="37" t="s">
        <v>145</v>
      </c>
      <c r="F93" s="72">
        <f>L90</f>
        <v>10</v>
      </c>
      <c r="G93" s="13" t="s">
        <v>0</v>
      </c>
      <c r="I93" s="13"/>
    </row>
    <row r="94" spans="2:21" x14ac:dyDescent="0.2">
      <c r="D94" s="13" t="s">
        <v>132</v>
      </c>
      <c r="E94" s="39" t="s">
        <v>111</v>
      </c>
      <c r="F94" s="72">
        <f>L91</f>
        <v>20</v>
      </c>
      <c r="G94" s="13" t="s">
        <v>224</v>
      </c>
      <c r="H94" s="82">
        <v>20</v>
      </c>
      <c r="I94" s="13" t="s">
        <v>0</v>
      </c>
      <c r="J94" s="27">
        <f>IF(H94="",1,0)</f>
        <v>0</v>
      </c>
      <c r="K94" s="27">
        <f>J94*L81</f>
        <v>0</v>
      </c>
      <c r="L94" s="131">
        <f>H95*L81</f>
        <v>0</v>
      </c>
    </row>
    <row r="95" spans="2:21" x14ac:dyDescent="0.2">
      <c r="D95" s="13"/>
      <c r="E95" s="39"/>
      <c r="F95" s="78"/>
      <c r="G95" s="13"/>
      <c r="H95" s="26">
        <f>IF(H94-F94&lt;0,1,0)</f>
        <v>0</v>
      </c>
      <c r="I95" s="13"/>
    </row>
    <row r="96" spans="2:21" x14ac:dyDescent="0.2">
      <c r="C96" s="26">
        <f>IF(C87+C92&gt;0,1,0)</f>
        <v>1</v>
      </c>
      <c r="D96" s="13"/>
      <c r="E96" s="39"/>
      <c r="F96" s="3"/>
      <c r="G96" s="13"/>
      <c r="I96" s="13"/>
    </row>
    <row r="97" spans="2:18" ht="15.75" x14ac:dyDescent="0.25">
      <c r="B97" s="75">
        <f>C87*L81</f>
        <v>0</v>
      </c>
      <c r="C97" s="288" t="s">
        <v>152</v>
      </c>
      <c r="D97" s="288"/>
      <c r="E97" s="288"/>
      <c r="F97" s="288"/>
      <c r="G97" s="288"/>
      <c r="H97" s="288"/>
      <c r="I97" s="13"/>
      <c r="R97"/>
    </row>
    <row r="98" spans="2:18" ht="15.75" x14ac:dyDescent="0.25">
      <c r="B98" s="75">
        <f>C96*L81</f>
        <v>0</v>
      </c>
      <c r="C98" s="288" t="s">
        <v>153</v>
      </c>
      <c r="D98" s="288"/>
      <c r="E98" s="288"/>
      <c r="F98" s="288"/>
      <c r="G98" s="288"/>
      <c r="H98" s="288"/>
      <c r="I98" s="13"/>
      <c r="R98"/>
    </row>
    <row r="99" spans="2:18" ht="15.75" x14ac:dyDescent="0.25">
      <c r="C99" s="287" t="s">
        <v>237</v>
      </c>
      <c r="D99" s="287"/>
      <c r="E99" s="287"/>
      <c r="F99" s="287"/>
      <c r="G99" s="287"/>
      <c r="H99" s="287"/>
    </row>
    <row r="100" spans="2:18" x14ac:dyDescent="0.2">
      <c r="G100" t="str">
        <f>G47</f>
        <v>11903072</v>
      </c>
    </row>
    <row r="102" spans="2:18" x14ac:dyDescent="0.2">
      <c r="B102" s="26">
        <f>I56+I59++I62+I63+I70+I73+I74+I82+I85+I86+I90+I91</f>
        <v>0</v>
      </c>
      <c r="C102" s="80" t="s">
        <v>27</v>
      </c>
      <c r="D102" s="79">
        <f>AJ62</f>
        <v>0</v>
      </c>
      <c r="E102" s="286" t="s">
        <v>28</v>
      </c>
      <c r="F102" s="286"/>
      <c r="G102" s="286"/>
    </row>
    <row r="103" spans="2:18" x14ac:dyDescent="0.2">
      <c r="G103" s="162">
        <f>G50</f>
        <v>43541</v>
      </c>
      <c r="H103" s="137" t="str">
        <f>H50</f>
        <v>www.denak.de</v>
      </c>
      <c r="I103" s="137"/>
    </row>
  </sheetData>
  <sheetProtection password="9453" sheet="1" objects="1" scenarios="1" selectLockedCells="1"/>
  <mergeCells count="56">
    <mergeCell ref="AM6:AO6"/>
    <mergeCell ref="AM7:AR7"/>
    <mergeCell ref="AM8:AR8"/>
    <mergeCell ref="AM9:AR9"/>
    <mergeCell ref="AM10:AR10"/>
    <mergeCell ref="B38:C38"/>
    <mergeCell ref="S39:X39"/>
    <mergeCell ref="S40:X40"/>
    <mergeCell ref="S41:X41"/>
    <mergeCell ref="C97:H97"/>
    <mergeCell ref="C47:D47"/>
    <mergeCell ref="L40:Q40"/>
    <mergeCell ref="L39:Q39"/>
    <mergeCell ref="L41:Q41"/>
    <mergeCell ref="F60:G60"/>
    <mergeCell ref="F70:G70"/>
    <mergeCell ref="F71:G71"/>
    <mergeCell ref="B52:E52"/>
    <mergeCell ref="C40:H40"/>
    <mergeCell ref="G52:H52"/>
    <mergeCell ref="G53:H53"/>
    <mergeCell ref="G4:H4"/>
    <mergeCell ref="B1:E1"/>
    <mergeCell ref="B2:E2"/>
    <mergeCell ref="B4:C4"/>
    <mergeCell ref="G1:H1"/>
    <mergeCell ref="G2:H2"/>
    <mergeCell ref="M35:Q35"/>
    <mergeCell ref="C23:D23"/>
    <mergeCell ref="C32:D32"/>
    <mergeCell ref="C33:D33"/>
    <mergeCell ref="G30:H30"/>
    <mergeCell ref="C24:D24"/>
    <mergeCell ref="C41:H41"/>
    <mergeCell ref="F59:G59"/>
    <mergeCell ref="B53:E53"/>
    <mergeCell ref="F56:H56"/>
    <mergeCell ref="C43:H43"/>
    <mergeCell ref="E49:G49"/>
    <mergeCell ref="F82:G82"/>
    <mergeCell ref="F83:G83"/>
    <mergeCell ref="D82:E82"/>
    <mergeCell ref="E102:G102"/>
    <mergeCell ref="C99:H99"/>
    <mergeCell ref="C98:H98"/>
    <mergeCell ref="Z61:AE61"/>
    <mergeCell ref="Z62:AE62"/>
    <mergeCell ref="AM28:AO28"/>
    <mergeCell ref="AM29:AR29"/>
    <mergeCell ref="AM30:AR30"/>
    <mergeCell ref="AM31:AR31"/>
    <mergeCell ref="Z57:AE57"/>
    <mergeCell ref="Z58:AE58"/>
    <mergeCell ref="Z59:AE59"/>
    <mergeCell ref="Z60:AE60"/>
    <mergeCell ref="Z56:AB56"/>
  </mergeCells>
  <phoneticPr fontId="0" type="noConversion"/>
  <conditionalFormatting sqref="H16 H18 C23:D23">
    <cfRule type="expression" dxfId="268" priority="27" stopIfTrue="1">
      <formula>$D$4&lt;1</formula>
    </cfRule>
  </conditionalFormatting>
  <conditionalFormatting sqref="C47:D48">
    <cfRule type="expression" dxfId="267" priority="118" stopIfTrue="1">
      <formula>LEN($C$46)&gt;0</formula>
    </cfRule>
    <cfRule type="expression" dxfId="266" priority="119" stopIfTrue="1">
      <formula>$D$4&lt;1</formula>
    </cfRule>
  </conditionalFormatting>
  <conditionalFormatting sqref="G4:H4">
    <cfRule type="expression" dxfId="265" priority="127" stopIfTrue="1">
      <formula>$D$4&gt;0.9</formula>
    </cfRule>
  </conditionalFormatting>
  <conditionalFormatting sqref="G23">
    <cfRule type="expression" dxfId="264" priority="128" stopIfTrue="1">
      <formula>$H$20*$H$21*$H$22*$F$22&gt;0</formula>
    </cfRule>
    <cfRule type="expression" dxfId="263" priority="129" stopIfTrue="1">
      <formula>$D$4&lt;2</formula>
    </cfRule>
  </conditionalFormatting>
  <conditionalFormatting sqref="G27">
    <cfRule type="expression" dxfId="262" priority="130" stopIfTrue="1">
      <formula>$H$24*$H$25*$H$26*$F$26&gt;0</formula>
    </cfRule>
    <cfRule type="expression" dxfId="261" priority="131" stopIfTrue="1">
      <formula>$D$4&lt;3</formula>
    </cfRule>
  </conditionalFormatting>
  <conditionalFormatting sqref="G19">
    <cfRule type="expression" dxfId="260" priority="132" stopIfTrue="1">
      <formula>$H$16*$H$17*$H$18*$F$18&gt;0</formula>
    </cfRule>
    <cfRule type="expression" dxfId="259" priority="133" stopIfTrue="1">
      <formula>$D$4=0</formula>
    </cfRule>
  </conditionalFormatting>
  <conditionalFormatting sqref="C24:D24">
    <cfRule type="expression" dxfId="258" priority="134" stopIfTrue="1">
      <formula>LEN($C$23)&gt;0</formula>
    </cfRule>
    <cfRule type="expression" dxfId="257" priority="135" stopIfTrue="1">
      <formula>$D$4&lt;1</formula>
    </cfRule>
  </conditionalFormatting>
  <conditionalFormatting sqref="H17">
    <cfRule type="expression" dxfId="256" priority="80" stopIfTrue="1">
      <formula>$D$4&lt;1</formula>
    </cfRule>
    <cfRule type="expression" dxfId="255" priority="136" stopIfTrue="1">
      <formula>$K$17=1</formula>
    </cfRule>
    <cfRule type="expression" dxfId="254" priority="137" stopIfTrue="1">
      <formula>$L$17=1</formula>
    </cfRule>
  </conditionalFormatting>
  <conditionalFormatting sqref="D4 C30">
    <cfRule type="expression" dxfId="253" priority="138" stopIfTrue="1">
      <formula>$B$31=1</formula>
    </cfRule>
  </conditionalFormatting>
  <conditionalFormatting sqref="H20 H22">
    <cfRule type="expression" dxfId="252" priority="53" stopIfTrue="1">
      <formula>$D$4&lt;2</formula>
    </cfRule>
  </conditionalFormatting>
  <conditionalFormatting sqref="H21">
    <cfRule type="expression" dxfId="251" priority="76" stopIfTrue="1">
      <formula>$D$4&lt;2</formula>
    </cfRule>
    <cfRule type="expression" dxfId="250" priority="77">
      <formula>$L$21=1</formula>
    </cfRule>
    <cfRule type="expression" dxfId="249" priority="140">
      <formula>$K$21=1</formula>
    </cfRule>
  </conditionalFormatting>
  <conditionalFormatting sqref="H24 H26">
    <cfRule type="expression" dxfId="248" priority="74" stopIfTrue="1">
      <formula>$D$4&lt;3</formula>
    </cfRule>
  </conditionalFormatting>
  <conditionalFormatting sqref="H25">
    <cfRule type="expression" dxfId="247" priority="73" stopIfTrue="1">
      <formula>$D$4&lt;3</formula>
    </cfRule>
    <cfRule type="expression" dxfId="246" priority="143" stopIfTrue="1">
      <formula>$H$25&lt;$P$25</formula>
    </cfRule>
    <cfRule type="expression" dxfId="245" priority="144">
      <formula>$L$25=1</formula>
    </cfRule>
  </conditionalFormatting>
  <conditionalFormatting sqref="G30:H30">
    <cfRule type="expression" dxfId="244" priority="146" stopIfTrue="1">
      <formula>$C$31=1</formula>
    </cfRule>
  </conditionalFormatting>
  <conditionalFormatting sqref="C32:D32">
    <cfRule type="expression" dxfId="243" priority="26">
      <formula>$B$33=1</formula>
    </cfRule>
    <cfRule type="expression" dxfId="242" priority="147" stopIfTrue="1">
      <formula>$C$31=0</formula>
    </cfRule>
  </conditionalFormatting>
  <conditionalFormatting sqref="H31">
    <cfRule type="expression" dxfId="241" priority="50" stopIfTrue="1">
      <formula>$C$31=0</formula>
    </cfRule>
    <cfRule type="expression" dxfId="240" priority="51">
      <formula>$L$31=1</formula>
    </cfRule>
    <cfRule type="expression" dxfId="239" priority="148">
      <formula>$K$31=1</formula>
    </cfRule>
  </conditionalFormatting>
  <conditionalFormatting sqref="H32:H33">
    <cfRule type="expression" dxfId="238" priority="46" stopIfTrue="1">
      <formula>$C$31=0</formula>
    </cfRule>
  </conditionalFormatting>
  <conditionalFormatting sqref="G34">
    <cfRule type="expression" dxfId="237" priority="150" stopIfTrue="1">
      <formula>$H$31*$H$32*$H$33&gt;0</formula>
    </cfRule>
    <cfRule type="expression" dxfId="236" priority="151" stopIfTrue="1">
      <formula>$C$31=0</formula>
    </cfRule>
  </conditionalFormatting>
  <conditionalFormatting sqref="C33:D33">
    <cfRule type="expression" dxfId="235" priority="152" stopIfTrue="1">
      <formula>LEN($C$32)&gt;0</formula>
    </cfRule>
    <cfRule type="expression" dxfId="234" priority="153" stopIfTrue="1">
      <formula>$C$31=0</formula>
    </cfRule>
  </conditionalFormatting>
  <conditionalFormatting sqref="C34:D35">
    <cfRule type="expression" dxfId="233" priority="154" stopIfTrue="1">
      <formula>$C$31=0</formula>
    </cfRule>
  </conditionalFormatting>
  <conditionalFormatting sqref="G28:I29 C25:D28">
    <cfRule type="expression" dxfId="232" priority="155" stopIfTrue="1">
      <formula>$D$4=0</formula>
    </cfRule>
  </conditionalFormatting>
  <conditionalFormatting sqref="C40:H41">
    <cfRule type="expression" dxfId="231" priority="100">
      <formula>$H$38=500</formula>
    </cfRule>
    <cfRule type="expression" dxfId="230" priority="101">
      <formula>$L$4=0</formula>
    </cfRule>
  </conditionalFormatting>
  <conditionalFormatting sqref="D56">
    <cfRule type="expression" dxfId="229" priority="99">
      <formula>$L$56=0</formula>
    </cfRule>
  </conditionalFormatting>
  <conditionalFormatting sqref="F59:G60 F62:F63">
    <cfRule type="expression" dxfId="228" priority="10">
      <formula>$L$58=0</formula>
    </cfRule>
  </conditionalFormatting>
  <conditionalFormatting sqref="F56:H56 C30">
    <cfRule type="expression" dxfId="227" priority="97">
      <formula>$L$4=0</formula>
    </cfRule>
  </conditionalFormatting>
  <conditionalFormatting sqref="F70:G71 F73:F74">
    <cfRule type="expression" dxfId="226" priority="93">
      <formula>$L$69=0</formula>
    </cfRule>
  </conditionalFormatting>
  <conditionalFormatting sqref="F82:G82">
    <cfRule type="expression" dxfId="225" priority="36">
      <formula>$L$81=0</formula>
    </cfRule>
    <cfRule type="expression" dxfId="224" priority="89">
      <formula>$I$82=1</formula>
    </cfRule>
  </conditionalFormatting>
  <conditionalFormatting sqref="F18">
    <cfRule type="expression" dxfId="223" priority="14">
      <formula>$L$15=0</formula>
    </cfRule>
    <cfRule type="expression" dxfId="222" priority="84">
      <formula>$F$19=1</formula>
    </cfRule>
  </conditionalFormatting>
  <conditionalFormatting sqref="F22">
    <cfRule type="expression" dxfId="221" priority="13">
      <formula>$L$19=0</formula>
    </cfRule>
    <cfRule type="expression" dxfId="220" priority="83">
      <formula>$F$23=1</formula>
    </cfRule>
  </conditionalFormatting>
  <conditionalFormatting sqref="F26">
    <cfRule type="expression" dxfId="219" priority="12">
      <formula>$L$23=0</formula>
    </cfRule>
    <cfRule type="expression" dxfId="218" priority="82">
      <formula>$F$27=1</formula>
    </cfRule>
  </conditionalFormatting>
  <conditionalFormatting sqref="H16">
    <cfRule type="expression" dxfId="217" priority="56">
      <formula>$L$16=1</formula>
    </cfRule>
    <cfRule type="expression" dxfId="216" priority="115">
      <formula>$K$16=1</formula>
    </cfRule>
  </conditionalFormatting>
  <conditionalFormatting sqref="H20">
    <cfRule type="expression" dxfId="215" priority="78">
      <formula>$K$20=1</formula>
    </cfRule>
    <cfRule type="expression" dxfId="214" priority="139">
      <formula>$L$20=1</formula>
    </cfRule>
  </conditionalFormatting>
  <conditionalFormatting sqref="H24">
    <cfRule type="expression" dxfId="213" priority="75">
      <formula>$K$24=1</formula>
    </cfRule>
    <cfRule type="expression" dxfId="212" priority="142">
      <formula>$L$24=1</formula>
    </cfRule>
  </conditionalFormatting>
  <conditionalFormatting sqref="H18">
    <cfRule type="expression" dxfId="211" priority="79">
      <formula>$H$18&lt;$P$18</formula>
    </cfRule>
  </conditionalFormatting>
  <conditionalFormatting sqref="F64:F66">
    <cfRule type="expression" dxfId="210" priority="71">
      <formula>$L$58=0</formula>
    </cfRule>
  </conditionalFormatting>
  <conditionalFormatting sqref="F75:F78">
    <cfRule type="expression" dxfId="209" priority="68">
      <formula>$L$69=0</formula>
    </cfRule>
  </conditionalFormatting>
  <conditionalFormatting sqref="F86 F91 F83:G83 H94">
    <cfRule type="expression" dxfId="208" priority="29">
      <formula>$L$81=0</formula>
    </cfRule>
  </conditionalFormatting>
  <conditionalFormatting sqref="H22">
    <cfRule type="expression" dxfId="207" priority="54">
      <formula>$L$22=1</formula>
    </cfRule>
    <cfRule type="expression" dxfId="206" priority="55">
      <formula>$K$22=1</formula>
    </cfRule>
  </conditionalFormatting>
  <conditionalFormatting sqref="C43:H43">
    <cfRule type="expression" dxfId="205" priority="52">
      <formula>$K$35=1</formula>
    </cfRule>
  </conditionalFormatting>
  <conditionalFormatting sqref="H33">
    <cfRule type="expression" dxfId="204" priority="49">
      <formula>$L$33=1</formula>
    </cfRule>
    <cfRule type="expression" dxfId="203" priority="149">
      <formula>$K$33=1</formula>
    </cfRule>
  </conditionalFormatting>
  <conditionalFormatting sqref="H32">
    <cfRule type="expression" dxfId="202" priority="47">
      <formula>$L$32=1</formula>
    </cfRule>
    <cfRule type="expression" dxfId="201" priority="48">
      <formula>$K$32=1</formula>
    </cfRule>
  </conditionalFormatting>
  <conditionalFormatting sqref="C97">
    <cfRule type="expression" dxfId="200" priority="40">
      <formula>$B$97=1</formula>
    </cfRule>
  </conditionalFormatting>
  <conditionalFormatting sqref="C98">
    <cfRule type="expression" dxfId="199" priority="37">
      <formula>$B$98=1</formula>
    </cfRule>
  </conditionalFormatting>
  <conditionalFormatting sqref="F85">
    <cfRule type="expression" dxfId="198" priority="32">
      <formula>$L$81=0</formula>
    </cfRule>
    <cfRule type="expression" dxfId="197" priority="34">
      <formula>$I$85=1</formula>
    </cfRule>
  </conditionalFormatting>
  <conditionalFormatting sqref="F86">
    <cfRule type="expression" dxfId="196" priority="63">
      <formula>$I$86=1</formula>
    </cfRule>
  </conditionalFormatting>
  <conditionalFormatting sqref="F90">
    <cfRule type="expression" dxfId="195" priority="30">
      <formula>$L$81=0</formula>
    </cfRule>
    <cfRule type="expression" dxfId="194" priority="31">
      <formula>$I$90=1</formula>
    </cfRule>
  </conditionalFormatting>
  <conditionalFormatting sqref="F91">
    <cfRule type="expression" dxfId="193" priority="33">
      <formula>$I$91=1</formula>
    </cfRule>
  </conditionalFormatting>
  <conditionalFormatting sqref="F56:H56">
    <cfRule type="expression" dxfId="192" priority="28">
      <formula>$I$56=1</formula>
    </cfRule>
  </conditionalFormatting>
  <conditionalFormatting sqref="C23:D23">
    <cfRule type="expression" dxfId="191" priority="72">
      <formula>$B$24=1</formula>
    </cfRule>
  </conditionalFormatting>
  <conditionalFormatting sqref="F84 F87:F88 F92:F94">
    <cfRule type="expression" dxfId="190" priority="24">
      <formula>$L$81=0</formula>
    </cfRule>
  </conditionalFormatting>
  <conditionalFormatting sqref="C49:G49">
    <cfRule type="expression" dxfId="189" priority="19">
      <formula>$B$49&gt;0</formula>
    </cfRule>
  </conditionalFormatting>
  <conditionalFormatting sqref="F59:G59 F62">
    <cfRule type="expression" dxfId="188" priority="98">
      <formula>$J$59=1</formula>
    </cfRule>
  </conditionalFormatting>
  <conditionalFormatting sqref="H66">
    <cfRule type="expression" dxfId="187" priority="2">
      <formula>$L$58=0</formula>
    </cfRule>
    <cfRule type="expression" dxfId="186" priority="9">
      <formula>$K$66&gt;0</formula>
    </cfRule>
  </conditionalFormatting>
  <conditionalFormatting sqref="H78">
    <cfRule type="expression" dxfId="185" priority="1">
      <formula>$L$69=0</formula>
    </cfRule>
    <cfRule type="expression" dxfId="184" priority="8">
      <formula>$K$78&gt;0</formula>
    </cfRule>
  </conditionalFormatting>
  <conditionalFormatting sqref="H88">
    <cfRule type="expression" dxfId="183" priority="4">
      <formula>$L$81=0</formula>
    </cfRule>
    <cfRule type="expression" dxfId="182" priority="7">
      <formula>$K$88=1</formula>
    </cfRule>
  </conditionalFormatting>
  <conditionalFormatting sqref="C102:G102">
    <cfRule type="expression" dxfId="181" priority="5">
      <formula>$AJ$62&gt;0</formula>
    </cfRule>
  </conditionalFormatting>
  <conditionalFormatting sqref="C99:H99">
    <cfRule type="expression" dxfId="180" priority="3">
      <formula>$AJ$61&gt;0</formula>
    </cfRule>
  </conditionalFormatting>
  <dataValidations xWindow="253" yWindow="767" count="10">
    <dataValidation type="list" allowBlank="1" showInputMessage="1" showErrorMessage="1" error="Wert ist nicht zulässig." prompt="0 = Krein Grabstein_x000a_1 = Grabstein aus einen Teil_x000a_2 = Grabstein aus zwei Teilen_x000a_3 = Grabstein aus drei Teilen" sqref="D4">
      <formula1>$A$3:$A$6</formula1>
    </dataValidation>
    <dataValidation type="list" allowBlank="1" showInputMessage="1" showErrorMessage="1" error="Wert ist nicht zulässig." prompt="0 = Krein Sockel_x000a_1 = Sockel vorhanden" sqref="C30">
      <formula1>$A$3:$A$4</formula1>
    </dataValidation>
    <dataValidation type="list" allowBlank="1" showInputMessage="1" showErrorMessage="1" error="Wert ist nicht zulässig." prompt="2 =  Sockel mit durchgehenden Dübel_x000a_3 = Sockel mit geteilten Dübel" sqref="D56">
      <formula1>$A$5:$A$6</formula1>
    </dataValidation>
    <dataValidation type="list" allowBlank="1" showInputMessage="1" showErrorMessage="1" prompt="maximal 2 Dübel pro Teil" sqref="F62">
      <formula1>$A$4:$A$5</formula1>
    </dataValidation>
    <dataValidation type="list" allowBlank="1" showInputMessage="1" showErrorMessage="1" sqref="F91 F74 F63">
      <formula1>$A$40:$A$47</formula1>
    </dataValidation>
    <dataValidation type="list" allowBlank="1" showInputMessage="1" showErrorMessage="1" sqref="F59:G59 F70:G70 F82:G82">
      <formula1>$S$56:$S$57</formula1>
    </dataValidation>
    <dataValidation type="list" showInputMessage="1" showErrorMessage="1" prompt="maximal 2 Dübel pro Teil_x000a_" sqref="F73">
      <formula1>$A$4:$A$5</formula1>
    </dataValidation>
    <dataValidation type="list" allowBlank="1" showInputMessage="1" showErrorMessage="1" sqref="H26 H22">
      <formula1>$A$11:$A$37</formula1>
    </dataValidation>
    <dataValidation type="list" allowBlank="1" showInputMessage="1" showErrorMessage="1" sqref="F85 F90">
      <formula1>$A$4:$A$5</formula1>
    </dataValidation>
    <dataValidation type="list" allowBlank="1" showInputMessage="1" showErrorMessage="1" errorTitle="nicht zuläassig" sqref="F86">
      <formula1>$A$40:$A$47</formula1>
    </dataValidation>
  </dataValidations>
  <hyperlinks>
    <hyperlink ref="H50" r:id="rId1"/>
  </hyperlinks>
  <pageMargins left="0.78740157480314965" right="0.59055118110236227" top="0.98425196850393704" bottom="0.98425196850393704" header="0.51181102362204722" footer="0.51181102362204722"/>
  <pageSetup paperSize="9" orientation="portrait" horizontalDpi="1200" verticalDpi="12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4"/>
  </sheetPr>
  <dimension ref="A1:AV56"/>
  <sheetViews>
    <sheetView showGridLines="0" zoomScale="145" zoomScaleNormal="145" workbookViewId="0">
      <selection activeCell="B36" sqref="B36"/>
    </sheetView>
  </sheetViews>
  <sheetFormatPr baseColWidth="10" defaultRowHeight="12.75" x14ac:dyDescent="0.2"/>
  <cols>
    <col min="1" max="1" width="3.140625" customWidth="1"/>
    <col min="4" max="4" width="8" customWidth="1"/>
    <col min="5" max="5" width="9" customWidth="1"/>
    <col min="6" max="6" width="8.140625" customWidth="1"/>
    <col min="7" max="7" width="13.85546875" customWidth="1"/>
    <col min="8" max="8" width="7.5703125" customWidth="1"/>
    <col min="9" max="9" width="8.85546875" customWidth="1"/>
    <col min="10" max="10" width="4.7109375" customWidth="1"/>
    <col min="11" max="16" width="4.7109375" hidden="1" customWidth="1"/>
    <col min="17" max="17" width="5.5703125" hidden="1" customWidth="1"/>
    <col min="18" max="25" width="4.7109375" hidden="1" customWidth="1"/>
    <col min="26" max="27" width="5.7109375" hidden="1" customWidth="1"/>
    <col min="28" max="30" width="8.7109375" hidden="1" customWidth="1"/>
    <col min="31" max="31" width="13.5703125" hidden="1" customWidth="1"/>
    <col min="32" max="32" width="8.7109375" hidden="1" customWidth="1"/>
    <col min="33" max="41" width="5.7109375" hidden="1" customWidth="1"/>
    <col min="42" max="43" width="4.7109375" hidden="1" customWidth="1"/>
    <col min="44" max="48" width="11.42578125" hidden="1" customWidth="1"/>
    <col min="49" max="54" width="11.42578125" customWidth="1"/>
  </cols>
  <sheetData>
    <row r="1" spans="1:43" x14ac:dyDescent="0.2">
      <c r="A1" s="13"/>
      <c r="B1" s="317" t="str">
        <f>Lizenznehmer!A100</f>
        <v>Friedhofsverwaltung</v>
      </c>
      <c r="C1" s="317"/>
      <c r="D1" s="317"/>
      <c r="E1" s="317"/>
      <c r="F1" s="317"/>
      <c r="G1" s="321" t="str">
        <f>Lizenznehmer!J100</f>
        <v>Tel.: 06074 911360</v>
      </c>
      <c r="H1" s="321"/>
      <c r="I1" s="178" t="s">
        <v>305</v>
      </c>
    </row>
    <row r="2" spans="1:43" ht="13.5" thickBot="1" x14ac:dyDescent="0.25">
      <c r="A2" s="13"/>
      <c r="B2" s="292" t="str">
        <f>Lizenznehmer!A101</f>
        <v>63322 Rödermark, Dieburger Straße 13-17</v>
      </c>
      <c r="C2" s="292"/>
      <c r="D2" s="292"/>
      <c r="E2" s="292"/>
      <c r="F2" s="292"/>
      <c r="G2" s="303" t="str">
        <f>Lizenznehmer!J101</f>
        <v>Fax: 06074 91 11 360</v>
      </c>
      <c r="H2" s="303"/>
      <c r="I2" s="179">
        <v>3</v>
      </c>
    </row>
    <row r="3" spans="1:43" ht="13.5" thickTop="1" x14ac:dyDescent="0.2">
      <c r="A3" s="92">
        <v>0</v>
      </c>
      <c r="B3" s="13"/>
      <c r="C3" s="13"/>
      <c r="D3" s="13"/>
      <c r="E3" s="42"/>
      <c r="F3" s="13"/>
      <c r="G3" s="13"/>
      <c r="H3" s="13"/>
      <c r="I3" s="13"/>
    </row>
    <row r="4" spans="1:43" ht="13.5" thickBot="1" x14ac:dyDescent="0.25">
      <c r="A4" s="92">
        <v>1</v>
      </c>
      <c r="B4" s="13"/>
      <c r="C4" s="13"/>
      <c r="D4" s="3" t="str">
        <f>IF(D5&gt;1,"maximal 1 Teil","")</f>
        <v/>
      </c>
      <c r="E4" s="42"/>
      <c r="F4" s="13"/>
      <c r="G4" s="13"/>
      <c r="H4" s="13"/>
      <c r="I4" s="13"/>
    </row>
    <row r="5" spans="1:43" ht="14.25" thickTop="1" thickBot="1" x14ac:dyDescent="0.25">
      <c r="A5" s="92">
        <v>2</v>
      </c>
      <c r="B5" s="20">
        <v>0</v>
      </c>
      <c r="C5" s="13"/>
      <c r="D5" s="26">
        <f>B5</f>
        <v>0</v>
      </c>
      <c r="E5" s="42"/>
      <c r="F5" s="299" t="str">
        <f>IF(D5=0,"keine Einfassung","Einfassung")</f>
        <v>keine Einfassung</v>
      </c>
      <c r="G5" s="300"/>
      <c r="H5" s="13"/>
      <c r="I5" s="13"/>
      <c r="AJ5" s="280" t="s">
        <v>210</v>
      </c>
      <c r="AK5" s="280"/>
      <c r="AL5" s="280"/>
    </row>
    <row r="6" spans="1:43" ht="13.5" thickTop="1" x14ac:dyDescent="0.2">
      <c r="A6" s="92">
        <v>3</v>
      </c>
      <c r="B6" s="40"/>
      <c r="C6" s="13"/>
      <c r="D6" s="13"/>
      <c r="E6" s="42"/>
      <c r="F6" s="13"/>
      <c r="G6" s="13"/>
      <c r="H6" s="13"/>
      <c r="I6" s="13"/>
      <c r="K6" s="93">
        <f>IF(K9+L9+K8+L8+K7+L7&gt;0,1,0)</f>
        <v>0</v>
      </c>
      <c r="L6" s="86">
        <f>D5</f>
        <v>0</v>
      </c>
      <c r="P6" s="41" t="s">
        <v>102</v>
      </c>
      <c r="Q6" s="13" t="s">
        <v>103</v>
      </c>
      <c r="AB6" t="s">
        <v>68</v>
      </c>
      <c r="AD6">
        <f>(IF(N22=0,5,N22/100))</f>
        <v>5</v>
      </c>
      <c r="AJ6" s="281" t="s">
        <v>229</v>
      </c>
      <c r="AK6" s="281"/>
      <c r="AL6" s="281"/>
      <c r="AM6" s="281"/>
      <c r="AN6" s="281"/>
      <c r="AO6" s="281"/>
      <c r="AQ6" s="93">
        <f>F12</f>
        <v>0</v>
      </c>
    </row>
    <row r="7" spans="1:43" x14ac:dyDescent="0.2">
      <c r="A7" s="92">
        <v>4</v>
      </c>
      <c r="B7" s="13"/>
      <c r="C7" s="13"/>
      <c r="D7" s="13"/>
      <c r="E7" s="42"/>
      <c r="F7" s="26">
        <f>IF($D$5&lt;1,0,IF($H$7&lt;=0,1,0))</f>
        <v>0</v>
      </c>
      <c r="G7" s="37" t="s">
        <v>36</v>
      </c>
      <c r="H7" s="21">
        <v>65</v>
      </c>
      <c r="I7" s="13" t="s">
        <v>0</v>
      </c>
      <c r="K7" s="93">
        <f>IF(H7&lt;P7,1,0)</f>
        <v>0</v>
      </c>
      <c r="L7" s="93">
        <f>IF(N7&gt;Q7,1,0)</f>
        <v>0</v>
      </c>
      <c r="N7" s="76">
        <f>H7*$L$6</f>
        <v>0</v>
      </c>
      <c r="P7" s="44">
        <v>60</v>
      </c>
      <c r="Q7" s="65">
        <v>350</v>
      </c>
      <c r="AB7" t="s">
        <v>61</v>
      </c>
      <c r="AD7">
        <f>IF(N23=0,0.01,N23/100)</f>
        <v>0.01</v>
      </c>
      <c r="AF7">
        <f>AD8*AD7*AD7*AD7/12</f>
        <v>8.3333333333333345E-10</v>
      </c>
      <c r="AJ7" s="281" t="s">
        <v>158</v>
      </c>
      <c r="AK7" s="281"/>
      <c r="AL7" s="281"/>
      <c r="AM7" s="281"/>
      <c r="AN7" s="281"/>
      <c r="AO7" s="281"/>
      <c r="AQ7" s="93">
        <f>K26</f>
        <v>0</v>
      </c>
    </row>
    <row r="8" spans="1:43" x14ac:dyDescent="0.2">
      <c r="A8" s="92">
        <v>5</v>
      </c>
      <c r="B8" s="13"/>
      <c r="C8" s="13"/>
      <c r="D8" s="13"/>
      <c r="E8" s="42"/>
      <c r="F8" s="26">
        <f>IF($D$5&lt;1,0,IF($H$8&lt;=0,1,0))</f>
        <v>0</v>
      </c>
      <c r="G8" s="37" t="s">
        <v>37</v>
      </c>
      <c r="H8" s="21">
        <v>80</v>
      </c>
      <c r="I8" s="13" t="s">
        <v>0</v>
      </c>
      <c r="K8" s="93">
        <f>IF(H8&lt;P8,1,0)</f>
        <v>0</v>
      </c>
      <c r="L8" s="93">
        <f>IF(N8&gt;Q8,1,0)</f>
        <v>0</v>
      </c>
      <c r="N8" s="76">
        <f>H8*$L$6</f>
        <v>0</v>
      </c>
      <c r="P8" s="44">
        <v>60</v>
      </c>
      <c r="Q8" s="65">
        <v>350</v>
      </c>
      <c r="AB8" t="s">
        <v>62</v>
      </c>
      <c r="AD8">
        <f>IF(N24=0,0.01,N24/100)</f>
        <v>0.01</v>
      </c>
      <c r="AJ8" s="281" t="s">
        <v>230</v>
      </c>
      <c r="AK8" s="281"/>
      <c r="AL8" s="281"/>
      <c r="AM8" s="281"/>
      <c r="AN8" s="281"/>
      <c r="AO8" s="281"/>
      <c r="AQ8" s="93">
        <f>F7+F8+F9+F13+F14+F15</f>
        <v>0</v>
      </c>
    </row>
    <row r="9" spans="1:43" x14ac:dyDescent="0.2">
      <c r="A9" s="92">
        <v>6</v>
      </c>
      <c r="B9" s="13"/>
      <c r="C9" s="13"/>
      <c r="D9" s="13"/>
      <c r="E9" s="42"/>
      <c r="F9" s="26">
        <f>IF($D$5&lt;1,0,IF($H$9&lt;=0,1,0))</f>
        <v>0</v>
      </c>
      <c r="G9" s="37" t="s">
        <v>38</v>
      </c>
      <c r="H9" s="21">
        <v>12</v>
      </c>
      <c r="I9" s="13" t="s">
        <v>0</v>
      </c>
      <c r="K9" s="93">
        <f>IF(H9&lt;P9,1,0)</f>
        <v>0</v>
      </c>
      <c r="L9" s="93">
        <f>IF(N9&gt;Q9,1,0)</f>
        <v>0</v>
      </c>
      <c r="N9" s="76">
        <f>H9*$L$6</f>
        <v>0</v>
      </c>
      <c r="P9" s="44">
        <v>8</v>
      </c>
      <c r="Q9" s="65">
        <v>28</v>
      </c>
      <c r="AB9" t="s">
        <v>69</v>
      </c>
      <c r="AD9">
        <v>28</v>
      </c>
      <c r="AJ9" s="281" t="s">
        <v>231</v>
      </c>
      <c r="AK9" s="281"/>
      <c r="AL9" s="281"/>
      <c r="AM9" s="281"/>
      <c r="AN9" s="281"/>
      <c r="AO9" s="281"/>
      <c r="AQ9" s="93">
        <f>F22+F23+F24</f>
        <v>0</v>
      </c>
    </row>
    <row r="10" spans="1:43" ht="13.5" x14ac:dyDescent="0.25">
      <c r="A10" s="92">
        <v>7</v>
      </c>
      <c r="B10" s="13"/>
      <c r="C10" s="13"/>
      <c r="D10" s="13"/>
      <c r="E10" s="42"/>
      <c r="F10" s="26"/>
      <c r="G10" s="13"/>
      <c r="H10" s="311" t="s">
        <v>17</v>
      </c>
      <c r="I10" s="311"/>
      <c r="AB10" t="s">
        <v>70</v>
      </c>
      <c r="AD10">
        <f>AD6*AD7*AD8*AD9</f>
        <v>1.4E-2</v>
      </c>
      <c r="AJ10" s="281" t="s">
        <v>233</v>
      </c>
      <c r="AK10" s="279"/>
      <c r="AL10" s="279"/>
      <c r="AM10" s="279"/>
      <c r="AN10" s="279"/>
      <c r="AO10" s="279"/>
      <c r="AP10" s="132"/>
      <c r="AQ10" s="93">
        <f>AF22*L6</f>
        <v>0</v>
      </c>
    </row>
    <row r="11" spans="1:43" x14ac:dyDescent="0.2">
      <c r="A11" s="92">
        <v>8</v>
      </c>
      <c r="B11" s="13"/>
      <c r="C11" s="13"/>
      <c r="D11" s="13"/>
      <c r="E11" s="42"/>
      <c r="F11" s="26"/>
      <c r="G11" s="37" t="s">
        <v>26</v>
      </c>
      <c r="H11" s="295" t="s">
        <v>373</v>
      </c>
      <c r="I11" s="296"/>
      <c r="AJ11" s="279"/>
      <c r="AK11" s="279"/>
      <c r="AL11" s="279"/>
      <c r="AM11" s="279"/>
      <c r="AN11" s="279"/>
      <c r="AO11" s="279"/>
    </row>
    <row r="12" spans="1:43" x14ac:dyDescent="0.2">
      <c r="A12" s="92">
        <v>9</v>
      </c>
      <c r="B12" s="13"/>
      <c r="C12" s="13"/>
      <c r="D12" s="13"/>
      <c r="E12" s="42"/>
      <c r="F12" s="26">
        <f>IF($D$5&lt;1,0,IF($H$11&lt;=0,1,0))</f>
        <v>0</v>
      </c>
      <c r="G12" s="13"/>
      <c r="H12" s="319" t="s">
        <v>17</v>
      </c>
      <c r="I12" s="320"/>
      <c r="K12" s="93">
        <f>IF(K15+L15+K14+L14+K13+L13&gt;0,1,0)</f>
        <v>0</v>
      </c>
      <c r="AB12" t="s">
        <v>78</v>
      </c>
      <c r="AD12">
        <f>IF((AD6+0.1)/2&gt;0.95,0.95,(AD6+0.1)/2)</f>
        <v>0.95</v>
      </c>
      <c r="AF12">
        <f>AD12*AD13*AD13*AD13/12</f>
        <v>0</v>
      </c>
    </row>
    <row r="13" spans="1:43" x14ac:dyDescent="0.2">
      <c r="A13" s="92">
        <v>10</v>
      </c>
      <c r="B13" s="13"/>
      <c r="C13" s="13"/>
      <c r="D13" s="13"/>
      <c r="E13" s="42"/>
      <c r="F13" s="26">
        <f>IF($D$5&lt;1,0,IF($H$13&lt;=0,1,0))</f>
        <v>0</v>
      </c>
      <c r="G13" s="37" t="s">
        <v>39</v>
      </c>
      <c r="H13" s="21">
        <v>6</v>
      </c>
      <c r="I13" s="13" t="s">
        <v>0</v>
      </c>
      <c r="K13" s="93">
        <f>IF(H13&lt;P13,1,0)</f>
        <v>0</v>
      </c>
      <c r="L13" s="93">
        <f>IF(N13&gt;Q13,1,0)</f>
        <v>0</v>
      </c>
      <c r="N13" s="76">
        <f>H13*$L$6</f>
        <v>0</v>
      </c>
      <c r="P13" s="44">
        <v>3</v>
      </c>
      <c r="Q13" s="65">
        <v>28</v>
      </c>
      <c r="AB13" t="s">
        <v>79</v>
      </c>
      <c r="AD13">
        <f>N42/100</f>
        <v>0</v>
      </c>
      <c r="AF13">
        <f>AF7/(AF7+AF12)</f>
        <v>1</v>
      </c>
    </row>
    <row r="14" spans="1:43" x14ac:dyDescent="0.2">
      <c r="A14" s="92">
        <v>11</v>
      </c>
      <c r="B14" s="13"/>
      <c r="C14" s="13"/>
      <c r="D14" s="13"/>
      <c r="E14" s="42"/>
      <c r="F14" s="26">
        <f>IF($D$5&lt;1,0,IF($H$14&lt;=0,1,0))</f>
        <v>0</v>
      </c>
      <c r="G14" s="37" t="s">
        <v>40</v>
      </c>
      <c r="H14" s="21">
        <v>6</v>
      </c>
      <c r="I14" s="13" t="s">
        <v>0</v>
      </c>
      <c r="K14" s="93">
        <f>IF(H14&lt;P14,1,0)</f>
        <v>0</v>
      </c>
      <c r="L14" s="93">
        <f>IF(N14&gt;Q14,1,0)</f>
        <v>0</v>
      </c>
      <c r="N14" s="76">
        <f>H14*$L$6</f>
        <v>0</v>
      </c>
      <c r="P14" s="44">
        <v>3</v>
      </c>
      <c r="Q14" s="65">
        <v>28</v>
      </c>
    </row>
    <row r="15" spans="1:43" x14ac:dyDescent="0.2">
      <c r="A15" s="92">
        <v>12</v>
      </c>
      <c r="B15" s="13"/>
      <c r="C15" s="13"/>
      <c r="D15" s="13"/>
      <c r="E15" s="42"/>
      <c r="F15" s="26">
        <f>IF($D$5&lt;1,0,IF($H$15&lt;=0,1,0))</f>
        <v>0</v>
      </c>
      <c r="G15" s="37" t="s">
        <v>41</v>
      </c>
      <c r="H15" s="21">
        <v>20</v>
      </c>
      <c r="I15" s="13" t="s">
        <v>0</v>
      </c>
      <c r="K15" s="93">
        <f>IF(H15&lt;P15,1,0)</f>
        <v>0</v>
      </c>
      <c r="L15" s="93">
        <f>IF(N15&gt;Q15,1,0)</f>
        <v>0</v>
      </c>
      <c r="N15" s="76">
        <f>H15*$L$6</f>
        <v>0</v>
      </c>
      <c r="P15" s="44">
        <v>3</v>
      </c>
      <c r="Q15" s="65">
        <v>28</v>
      </c>
      <c r="AB15" t="s">
        <v>71</v>
      </c>
      <c r="AD15">
        <f>AF15</f>
        <v>2.8E-3</v>
      </c>
      <c r="AF15">
        <f>AD7*AD8*AD9+AD12*AD13*AD9*AF13</f>
        <v>2.8E-3</v>
      </c>
    </row>
    <row r="16" spans="1:43" ht="13.5" x14ac:dyDescent="0.25">
      <c r="A16" s="92">
        <v>13</v>
      </c>
      <c r="B16" s="13"/>
      <c r="C16" s="13"/>
      <c r="D16" s="13"/>
      <c r="E16" s="42"/>
      <c r="F16" s="26"/>
      <c r="G16" s="13"/>
      <c r="H16" s="318" t="s">
        <v>17</v>
      </c>
      <c r="I16" s="318"/>
      <c r="AB16" t="s">
        <v>72</v>
      </c>
      <c r="AD16">
        <f>AD15*AD6*AD6/8/AD8</f>
        <v>0.87500000000000011</v>
      </c>
    </row>
    <row r="17" spans="1:32" x14ac:dyDescent="0.2">
      <c r="A17" s="92">
        <v>14</v>
      </c>
      <c r="B17" s="13"/>
      <c r="C17" s="13"/>
      <c r="D17" s="13"/>
      <c r="E17" s="42"/>
      <c r="F17" s="26"/>
      <c r="G17" s="13"/>
      <c r="H17" s="13"/>
      <c r="I17" s="13"/>
      <c r="AB17" t="s">
        <v>73</v>
      </c>
      <c r="AD17">
        <f>1*AD6/4/AD8</f>
        <v>125</v>
      </c>
    </row>
    <row r="18" spans="1:32" x14ac:dyDescent="0.2">
      <c r="A18" s="92">
        <v>15</v>
      </c>
      <c r="B18" s="13"/>
      <c r="C18" s="13"/>
      <c r="D18" s="13"/>
      <c r="E18" s="42"/>
      <c r="F18" s="26"/>
      <c r="G18" s="13"/>
      <c r="H18" s="13"/>
      <c r="I18" s="13"/>
      <c r="AB18" t="s">
        <v>74</v>
      </c>
      <c r="AD18">
        <f>AD16+AD17</f>
        <v>125.875</v>
      </c>
    </row>
    <row r="19" spans="1:32" x14ac:dyDescent="0.2">
      <c r="A19" s="92">
        <v>16</v>
      </c>
      <c r="B19" s="13"/>
      <c r="C19" s="13"/>
      <c r="D19" s="13"/>
      <c r="E19" s="42"/>
      <c r="F19" s="26"/>
      <c r="G19" s="13"/>
      <c r="H19" s="13"/>
      <c r="I19" s="13"/>
      <c r="AB19" s="3" t="s">
        <v>75</v>
      </c>
      <c r="AC19" s="3"/>
      <c r="AD19" s="87">
        <f>AD18*6/AD7/AD7/1000</f>
        <v>7552.5</v>
      </c>
      <c r="AE19" s="88" t="s">
        <v>159</v>
      </c>
      <c r="AF19" s="87">
        <f>10/2.7</f>
        <v>3.7037037037037033</v>
      </c>
    </row>
    <row r="20" spans="1:32" x14ac:dyDescent="0.2">
      <c r="A20" s="92">
        <v>17</v>
      </c>
      <c r="B20" s="13"/>
      <c r="C20" s="13"/>
      <c r="D20" s="13"/>
      <c r="E20" s="42"/>
      <c r="F20" s="26"/>
      <c r="G20" s="13"/>
      <c r="H20" s="13"/>
      <c r="I20" s="13"/>
      <c r="AF20" s="83">
        <f>IF(AD19&gt;AF19,1,0)</f>
        <v>1</v>
      </c>
    </row>
    <row r="21" spans="1:32" x14ac:dyDescent="0.2">
      <c r="A21" s="92">
        <v>18</v>
      </c>
      <c r="B21" s="13"/>
      <c r="C21" s="13"/>
      <c r="D21" s="13"/>
      <c r="E21" s="42"/>
      <c r="F21" s="26"/>
      <c r="G21" s="302" t="s">
        <v>60</v>
      </c>
      <c r="H21" s="302"/>
      <c r="I21" s="302"/>
      <c r="K21" s="93">
        <f>(K22+L22+K23+L23+K24+L24)*L6</f>
        <v>0</v>
      </c>
      <c r="AB21" t="s">
        <v>76</v>
      </c>
      <c r="AD21" s="89">
        <f>0.6*AD6*AD6/8/AD7</f>
        <v>187.5</v>
      </c>
      <c r="AF21" s="83">
        <f>IF(AD22&gt;AF19,1,0)</f>
        <v>1</v>
      </c>
    </row>
    <row r="22" spans="1:32" x14ac:dyDescent="0.2">
      <c r="A22" s="92">
        <v>19</v>
      </c>
      <c r="B22" s="13"/>
      <c r="C22" s="13"/>
      <c r="D22" s="13"/>
      <c r="E22" s="42"/>
      <c r="F22" s="26">
        <f>IF($D$5&lt;1,0,IF($H$22&lt;=0,1,0))</f>
        <v>0</v>
      </c>
      <c r="G22" s="37" t="s">
        <v>42</v>
      </c>
      <c r="H22" s="21">
        <v>65</v>
      </c>
      <c r="I22" s="13" t="s">
        <v>0</v>
      </c>
      <c r="K22" s="93">
        <f>IF(H22&lt;P22,1,0)</f>
        <v>0</v>
      </c>
      <c r="L22" s="93">
        <f>IF(N22&gt;Q22,1,0)</f>
        <v>0</v>
      </c>
      <c r="N22" s="76">
        <f>H22*L6</f>
        <v>0</v>
      </c>
      <c r="P22" s="44">
        <v>60</v>
      </c>
      <c r="Q22" s="65">
        <v>350</v>
      </c>
      <c r="AB22" s="3" t="s">
        <v>77</v>
      </c>
      <c r="AC22" s="3"/>
      <c r="AD22" s="87">
        <f>AD21*6/AD8/AD8/1000</f>
        <v>11250</v>
      </c>
      <c r="AE22" s="3"/>
      <c r="AF22" s="71">
        <f>SUM(AF20:AF21)</f>
        <v>2</v>
      </c>
    </row>
    <row r="23" spans="1:32" x14ac:dyDescent="0.2">
      <c r="A23" s="92">
        <v>20</v>
      </c>
      <c r="B23" s="13"/>
      <c r="C23" s="13"/>
      <c r="D23" s="13"/>
      <c r="E23" s="42"/>
      <c r="F23" s="26">
        <f>IF($D$5&lt;1,0,IF($H$23&lt;=0,1,0))</f>
        <v>0</v>
      </c>
      <c r="G23" s="37" t="s">
        <v>43</v>
      </c>
      <c r="H23" s="21">
        <v>12</v>
      </c>
      <c r="I23" s="13" t="s">
        <v>0</v>
      </c>
      <c r="K23" s="93">
        <f>IF(H23&lt;P23,1,0)</f>
        <v>0</v>
      </c>
      <c r="L23" s="93">
        <f>IF(N23&gt;Q23,1,0)</f>
        <v>0</v>
      </c>
      <c r="N23" s="76">
        <f>H23*L6</f>
        <v>0</v>
      </c>
      <c r="P23" s="44">
        <v>8</v>
      </c>
      <c r="Q23" s="65">
        <v>28</v>
      </c>
    </row>
    <row r="24" spans="1:32" x14ac:dyDescent="0.2">
      <c r="A24" s="92">
        <v>21</v>
      </c>
      <c r="B24" s="13"/>
      <c r="C24" s="13"/>
      <c r="D24" s="13"/>
      <c r="E24" s="42"/>
      <c r="F24" s="26">
        <f>IF($D$5&lt;1,0,IF($H$24&lt;=0,1,0))</f>
        <v>0</v>
      </c>
      <c r="G24" s="37" t="s">
        <v>44</v>
      </c>
      <c r="H24" s="21">
        <v>6</v>
      </c>
      <c r="I24" s="13" t="s">
        <v>0</v>
      </c>
      <c r="K24" s="93">
        <f>IF(H24&lt;P24,1,0)</f>
        <v>0</v>
      </c>
      <c r="L24" s="93">
        <f>IF(N24&gt;Q24,1,0)</f>
        <v>0</v>
      </c>
      <c r="N24" s="76">
        <f>H24*L6</f>
        <v>0</v>
      </c>
      <c r="P24" s="44">
        <v>3</v>
      </c>
      <c r="Q24" s="65">
        <v>28</v>
      </c>
    </row>
    <row r="25" spans="1:32" ht="12.75" customHeight="1" x14ac:dyDescent="0.25">
      <c r="A25" s="85">
        <v>22</v>
      </c>
      <c r="B25" s="13"/>
      <c r="C25" s="13"/>
      <c r="D25" s="13"/>
      <c r="E25" s="42"/>
      <c r="F25" s="13"/>
      <c r="G25" s="13"/>
      <c r="H25" s="318" t="s">
        <v>17</v>
      </c>
      <c r="I25" s="318"/>
      <c r="AB25" s="3"/>
      <c r="AD25" s="3"/>
    </row>
    <row r="26" spans="1:32" x14ac:dyDescent="0.2">
      <c r="A26" s="85">
        <v>23</v>
      </c>
      <c r="B26" s="13"/>
      <c r="C26" s="13"/>
      <c r="D26" s="13"/>
      <c r="E26" s="42"/>
      <c r="F26" s="13"/>
      <c r="G26" s="13"/>
      <c r="H26" s="13"/>
      <c r="I26" s="13"/>
      <c r="K26" s="71">
        <f>(K21+K12+K6)*L6</f>
        <v>0</v>
      </c>
    </row>
    <row r="27" spans="1:32" x14ac:dyDescent="0.2">
      <c r="A27" s="85">
        <v>24</v>
      </c>
      <c r="B27" s="13"/>
      <c r="C27" s="13"/>
      <c r="D27" s="13"/>
      <c r="E27" s="42"/>
      <c r="F27" s="13"/>
      <c r="G27" s="13"/>
      <c r="H27" s="13"/>
      <c r="I27" s="13"/>
    </row>
    <row r="28" spans="1:32" x14ac:dyDescent="0.2">
      <c r="A28" s="85">
        <v>25</v>
      </c>
      <c r="B28" s="13"/>
      <c r="C28" s="13"/>
      <c r="D28" s="13"/>
      <c r="E28" s="42"/>
      <c r="F28" s="13"/>
      <c r="G28" s="13"/>
      <c r="H28" s="13"/>
      <c r="I28" s="13"/>
    </row>
    <row r="29" spans="1:32" x14ac:dyDescent="0.2">
      <c r="A29" s="85">
        <v>26</v>
      </c>
      <c r="B29" s="13"/>
      <c r="C29" s="13"/>
      <c r="D29" s="13"/>
      <c r="E29" s="42"/>
      <c r="F29" s="13"/>
      <c r="G29" s="13"/>
      <c r="H29" s="13"/>
      <c r="I29" s="13"/>
    </row>
    <row r="30" spans="1:32" x14ac:dyDescent="0.2">
      <c r="A30" s="85">
        <v>27</v>
      </c>
      <c r="B30" s="13"/>
      <c r="C30" s="314" t="s">
        <v>158</v>
      </c>
      <c r="D30" s="314"/>
      <c r="E30" s="314"/>
      <c r="F30" s="314"/>
      <c r="G30" s="314"/>
      <c r="H30" s="314"/>
      <c r="I30" s="13"/>
    </row>
    <row r="31" spans="1:32" x14ac:dyDescent="0.2">
      <c r="A31" s="85">
        <v>28</v>
      </c>
      <c r="B31" s="13"/>
      <c r="C31" s="314" t="s">
        <v>162</v>
      </c>
      <c r="D31" s="314"/>
      <c r="E31" s="314"/>
      <c r="F31" s="314"/>
      <c r="G31" s="314"/>
      <c r="H31" s="314"/>
      <c r="I31" s="13"/>
    </row>
    <row r="32" spans="1:32" x14ac:dyDescent="0.2">
      <c r="A32" s="13"/>
      <c r="B32" s="13"/>
      <c r="C32" s="13"/>
      <c r="D32" s="13"/>
      <c r="E32" s="13"/>
      <c r="F32" s="13"/>
      <c r="G32" s="13"/>
      <c r="H32" s="13"/>
      <c r="I32" s="13"/>
    </row>
    <row r="33" spans="1:43" x14ac:dyDescent="0.2">
      <c r="A33" s="13"/>
      <c r="B33" s="13"/>
      <c r="C33" s="13"/>
      <c r="D33" s="13"/>
      <c r="E33" s="13"/>
      <c r="F33" s="13"/>
      <c r="G33" s="13"/>
      <c r="H33" s="13"/>
      <c r="I33" s="13"/>
    </row>
    <row r="34" spans="1:43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43" ht="13.5" thickBot="1" x14ac:dyDescent="0.25">
      <c r="A35" s="13"/>
      <c r="B35" s="13"/>
      <c r="C35" s="13"/>
      <c r="D35" s="3" t="str">
        <f>IF(D36&gt;4,"unwahrscheinlich","")</f>
        <v/>
      </c>
      <c r="E35" s="13"/>
      <c r="F35" s="13"/>
      <c r="G35" s="13"/>
      <c r="H35" s="13"/>
      <c r="I35" s="13"/>
    </row>
    <row r="36" spans="1:43" ht="14.25" thickTop="1" thickBot="1" x14ac:dyDescent="0.25">
      <c r="A36" s="13"/>
      <c r="B36" s="20">
        <v>0</v>
      </c>
      <c r="C36" s="13"/>
      <c r="D36" s="26">
        <f>B36</f>
        <v>0</v>
      </c>
      <c r="E36" s="13"/>
      <c r="F36" s="299" t="str">
        <f>IF(D36=0,"keine Abdeckplatte","Abdeckplatte")</f>
        <v>keine Abdeckplatte</v>
      </c>
      <c r="G36" s="300"/>
      <c r="H36" s="13"/>
      <c r="I36" s="13"/>
    </row>
    <row r="37" spans="1:43" ht="13.5" thickTop="1" x14ac:dyDescent="0.2">
      <c r="A37" s="13"/>
      <c r="B37" s="94"/>
      <c r="C37" s="13"/>
      <c r="D37" s="13"/>
      <c r="E37" s="13"/>
      <c r="F37" s="13"/>
      <c r="G37" s="13"/>
      <c r="H37" s="13"/>
      <c r="I37" s="13"/>
    </row>
    <row r="38" spans="1:43" ht="16.5" x14ac:dyDescent="0.3">
      <c r="A38" s="13"/>
      <c r="B38" s="315" t="s">
        <v>45</v>
      </c>
      <c r="C38" s="316"/>
      <c r="D38" s="20">
        <v>1</v>
      </c>
      <c r="E38" s="13"/>
      <c r="F38" s="26">
        <f>IF(D38="",1,0)</f>
        <v>0</v>
      </c>
      <c r="G38" s="13"/>
      <c r="H38" s="13"/>
      <c r="I38" s="13"/>
    </row>
    <row r="39" spans="1:43" x14ac:dyDescent="0.2">
      <c r="A39" s="13"/>
      <c r="B39" s="50"/>
      <c r="C39" s="13"/>
      <c r="D39" s="13"/>
      <c r="E39" s="13"/>
      <c r="F39" s="51"/>
      <c r="G39" s="301" t="s">
        <v>47</v>
      </c>
      <c r="H39" s="301"/>
      <c r="I39" s="301"/>
      <c r="K39" s="93">
        <f>(K40+L40+K41+L41+K42+L42)*L39</f>
        <v>0</v>
      </c>
      <c r="L39" s="86">
        <f>D36</f>
        <v>0</v>
      </c>
    </row>
    <row r="40" spans="1:43" x14ac:dyDescent="0.2">
      <c r="A40" s="13"/>
      <c r="B40" s="50"/>
      <c r="C40" s="13"/>
      <c r="D40" s="13"/>
      <c r="E40" s="13"/>
      <c r="F40" s="26">
        <f>IF($D$36&lt;1,0,IF($H$40&lt;=0,1,0))</f>
        <v>0</v>
      </c>
      <c r="G40" s="37" t="s">
        <v>36</v>
      </c>
      <c r="H40" s="21">
        <v>57</v>
      </c>
      <c r="I40" s="13" t="s">
        <v>0</v>
      </c>
      <c r="K40" s="93">
        <f>IF(H40&lt;P40,1,0)</f>
        <v>0</v>
      </c>
      <c r="L40" s="93">
        <f>IF(N40&gt;Q40,1,0)</f>
        <v>0</v>
      </c>
      <c r="N40" s="76">
        <f>H40*$L$39</f>
        <v>0</v>
      </c>
      <c r="P40" s="44">
        <v>30</v>
      </c>
      <c r="Q40" s="65">
        <v>300</v>
      </c>
      <c r="AJ40" s="280" t="s">
        <v>210</v>
      </c>
      <c r="AK40" s="280"/>
      <c r="AL40" s="280"/>
    </row>
    <row r="41" spans="1:43" x14ac:dyDescent="0.2">
      <c r="A41" s="13"/>
      <c r="B41" s="50"/>
      <c r="C41" s="13"/>
      <c r="D41" s="13"/>
      <c r="E41" s="13"/>
      <c r="F41" s="26">
        <f>IF($D$36&lt;1,0,IF($H$41&lt;=0,1,0))</f>
        <v>0</v>
      </c>
      <c r="G41" s="37" t="s">
        <v>37</v>
      </c>
      <c r="H41" s="21">
        <v>56</v>
      </c>
      <c r="I41" s="13" t="s">
        <v>0</v>
      </c>
      <c r="K41" s="93">
        <f>IF(H41&lt;P41,1,0)</f>
        <v>0</v>
      </c>
      <c r="L41" s="93">
        <f>IF(N41&gt;Q41,1,0)</f>
        <v>0</v>
      </c>
      <c r="N41" s="76">
        <f>H41*$L$39</f>
        <v>0</v>
      </c>
      <c r="P41" s="44">
        <v>30</v>
      </c>
      <c r="Q41" s="65">
        <v>300</v>
      </c>
      <c r="AJ41" s="281" t="s">
        <v>229</v>
      </c>
      <c r="AK41" s="281"/>
      <c r="AL41" s="281"/>
      <c r="AM41" s="281"/>
      <c r="AN41" s="281"/>
      <c r="AO41" s="281"/>
      <c r="AQ41" s="93">
        <f>F45</f>
        <v>0</v>
      </c>
    </row>
    <row r="42" spans="1:43" x14ac:dyDescent="0.2">
      <c r="A42" s="13"/>
      <c r="B42" s="50"/>
      <c r="C42" s="13"/>
      <c r="D42" s="13"/>
      <c r="E42" s="13"/>
      <c r="F42" s="26">
        <f>IF($D$36&lt;1,0,IF($H$42&lt;=0,1,0))</f>
        <v>0</v>
      </c>
      <c r="G42" s="37" t="s">
        <v>46</v>
      </c>
      <c r="H42" s="21">
        <v>3</v>
      </c>
      <c r="I42" s="13" t="s">
        <v>0</v>
      </c>
      <c r="K42" s="93">
        <f>IF(H42&lt;P42,1,0)</f>
        <v>0</v>
      </c>
      <c r="L42" s="93">
        <f>IF(N42&gt;Q42,1,0)</f>
        <v>0</v>
      </c>
      <c r="N42" s="76">
        <f>H42*$L$39</f>
        <v>0</v>
      </c>
      <c r="P42" s="44">
        <v>3</v>
      </c>
      <c r="Q42" s="65">
        <v>7</v>
      </c>
      <c r="AJ42" s="281" t="s">
        <v>158</v>
      </c>
      <c r="AK42" s="281"/>
      <c r="AL42" s="281"/>
      <c r="AM42" s="281"/>
      <c r="AN42" s="281"/>
      <c r="AO42" s="281"/>
      <c r="AQ42" s="93">
        <f>K39</f>
        <v>0</v>
      </c>
    </row>
    <row r="43" spans="1:43" ht="13.5" x14ac:dyDescent="0.25">
      <c r="A43" s="13"/>
      <c r="B43" s="50"/>
      <c r="C43" s="13"/>
      <c r="D43" s="13"/>
      <c r="E43" s="13"/>
      <c r="F43" s="26">
        <f>F42+F41+F40</f>
        <v>0</v>
      </c>
      <c r="G43" s="13"/>
      <c r="H43" s="311" t="s">
        <v>17</v>
      </c>
      <c r="I43" s="311"/>
      <c r="AJ43" s="281" t="s">
        <v>230</v>
      </c>
      <c r="AK43" s="281"/>
      <c r="AL43" s="281"/>
      <c r="AM43" s="281"/>
      <c r="AN43" s="281"/>
      <c r="AO43" s="281"/>
      <c r="AQ43" s="93">
        <f>F43</f>
        <v>0</v>
      </c>
    </row>
    <row r="44" spans="1:43" x14ac:dyDescent="0.2">
      <c r="A44" s="13"/>
      <c r="B44" s="50"/>
      <c r="C44" s="13"/>
      <c r="D44" s="13"/>
      <c r="E44" s="13"/>
      <c r="F44" s="26"/>
      <c r="G44" s="37" t="s">
        <v>26</v>
      </c>
      <c r="H44" s="295" t="s">
        <v>373</v>
      </c>
      <c r="I44" s="296"/>
      <c r="AJ44" s="281" t="s">
        <v>232</v>
      </c>
      <c r="AK44" s="279"/>
      <c r="AL44" s="279"/>
      <c r="AM44" s="279"/>
      <c r="AN44" s="279"/>
      <c r="AO44" s="279"/>
      <c r="AQ44" s="93">
        <f>K49*L39</f>
        <v>0</v>
      </c>
    </row>
    <row r="45" spans="1:43" ht="13.5" x14ac:dyDescent="0.25">
      <c r="A45" s="13"/>
      <c r="B45" s="50"/>
      <c r="C45" s="13"/>
      <c r="D45" s="13"/>
      <c r="E45" s="13"/>
      <c r="F45" s="26">
        <f>IF($D$36&lt;1,0,IF($H$44&lt;=0,1,0))</f>
        <v>0</v>
      </c>
      <c r="G45" s="13"/>
      <c r="H45" s="312" t="s">
        <v>17</v>
      </c>
      <c r="I45" s="313"/>
      <c r="K45" s="13" t="s">
        <v>160</v>
      </c>
      <c r="N45" s="76">
        <f>SQRT(H40*H40+H41*H41)</f>
        <v>79.906195003891909</v>
      </c>
      <c r="O45" s="84">
        <f>IF(N45&lt;Q45,P45,0)</f>
        <v>3</v>
      </c>
      <c r="P45" s="96">
        <v>3</v>
      </c>
      <c r="Q45" s="97">
        <v>120</v>
      </c>
      <c r="AJ45" s="279"/>
      <c r="AK45" s="279"/>
      <c r="AL45" s="279"/>
      <c r="AM45" s="279"/>
      <c r="AN45" s="279"/>
      <c r="AO45" s="279"/>
      <c r="AP45" s="132"/>
    </row>
    <row r="46" spans="1:43" x14ac:dyDescent="0.2">
      <c r="A46" s="13"/>
      <c r="B46" s="50"/>
      <c r="C46" s="13"/>
      <c r="D46" s="13"/>
      <c r="E46" s="13"/>
      <c r="F46" s="51"/>
      <c r="G46" s="39" t="s">
        <v>163</v>
      </c>
      <c r="H46" s="186">
        <f>N45</f>
        <v>79.906195003891909</v>
      </c>
      <c r="I46" s="13" t="s">
        <v>0</v>
      </c>
      <c r="N46" s="90"/>
      <c r="O46" s="84">
        <f>IF($N$45&gt;Q46,0,IF($N$45&gt;Q45,P46,0))</f>
        <v>0</v>
      </c>
      <c r="P46" s="96">
        <v>4</v>
      </c>
      <c r="Q46" s="97">
        <v>160</v>
      </c>
    </row>
    <row r="47" spans="1:43" x14ac:dyDescent="0.2">
      <c r="A47" s="13"/>
      <c r="B47" s="50"/>
      <c r="C47" s="13"/>
      <c r="D47" s="13"/>
      <c r="E47" s="13"/>
      <c r="F47" s="13"/>
      <c r="G47" s="314" t="s">
        <v>161</v>
      </c>
      <c r="H47" s="314"/>
      <c r="I47" s="314"/>
      <c r="O47" s="84">
        <f>IF($N$45&gt;Q47,0,IF($N$45&gt;Q46,P47,0))</f>
        <v>0</v>
      </c>
      <c r="P47" s="96">
        <v>5</v>
      </c>
      <c r="Q47" s="97">
        <v>250</v>
      </c>
    </row>
    <row r="48" spans="1:43" x14ac:dyDescent="0.2">
      <c r="A48" s="13"/>
      <c r="B48" s="50"/>
      <c r="C48" s="13"/>
      <c r="D48" s="13"/>
      <c r="E48" s="13"/>
      <c r="F48" s="13"/>
      <c r="G48" s="13"/>
      <c r="H48" s="13"/>
      <c r="I48" s="13"/>
      <c r="O48" s="84">
        <f>IF($N$45&gt;Q48,0,IF($N$45&gt;Q47,P48,0))</f>
        <v>0</v>
      </c>
      <c r="P48" s="96">
        <v>6</v>
      </c>
      <c r="Q48" s="97">
        <v>290</v>
      </c>
    </row>
    <row r="49" spans="1:16" x14ac:dyDescent="0.2">
      <c r="A49" s="13"/>
      <c r="B49" s="50"/>
      <c r="C49" s="13"/>
      <c r="D49" s="13"/>
      <c r="E49" s="13"/>
      <c r="F49" s="13"/>
      <c r="G49" s="13"/>
      <c r="H49" s="13"/>
      <c r="I49" s="13"/>
      <c r="K49" s="84">
        <f>IF(L49&lt;O49,1,0)</f>
        <v>0</v>
      </c>
      <c r="L49" s="93">
        <f>H42</f>
        <v>3</v>
      </c>
      <c r="O49" s="98">
        <f>SUM(O45:O48)</f>
        <v>3</v>
      </c>
      <c r="P49" s="96"/>
    </row>
    <row r="50" spans="1:16" x14ac:dyDescent="0.2">
      <c r="A50" s="13"/>
      <c r="B50" s="50"/>
      <c r="C50" s="13"/>
      <c r="D50" s="13"/>
      <c r="E50" s="13"/>
      <c r="F50" s="13"/>
      <c r="G50" s="13"/>
      <c r="H50" s="13"/>
      <c r="I50" s="13"/>
    </row>
    <row r="51" spans="1:16" x14ac:dyDescent="0.2">
      <c r="A51" s="13"/>
      <c r="B51" s="50"/>
      <c r="C51" s="13"/>
      <c r="D51" s="13"/>
      <c r="E51" s="13"/>
      <c r="F51" s="13"/>
      <c r="G51" s="182" t="str">
        <f>Lizenznehmer!D98</f>
        <v>11903072</v>
      </c>
      <c r="H51" s="13"/>
      <c r="I51" s="13"/>
    </row>
    <row r="52" spans="1:16" x14ac:dyDescent="0.2">
      <c r="A52" s="13"/>
      <c r="B52" s="50"/>
      <c r="C52" s="314" t="s">
        <v>158</v>
      </c>
      <c r="D52" s="314"/>
      <c r="E52" s="314"/>
      <c r="F52" s="314"/>
      <c r="G52" s="314"/>
      <c r="H52" s="314"/>
      <c r="I52" s="13"/>
    </row>
    <row r="53" spans="1:16" x14ac:dyDescent="0.2">
      <c r="A53" s="13"/>
      <c r="B53" s="50"/>
      <c r="C53" s="13"/>
      <c r="D53" s="13"/>
      <c r="E53" s="13"/>
      <c r="F53" s="13"/>
      <c r="G53" s="13"/>
      <c r="H53" s="13"/>
      <c r="I53" s="13"/>
    </row>
    <row r="54" spans="1:16" x14ac:dyDescent="0.2">
      <c r="A54" s="13"/>
      <c r="B54" s="95">
        <f>F7+F8+F9+F12+F13+F14+F15+F22+F23+F24+F40+F41+F42+F45+F38</f>
        <v>0</v>
      </c>
      <c r="C54" s="52" t="s">
        <v>27</v>
      </c>
      <c r="D54" s="53">
        <f>B54</f>
        <v>0</v>
      </c>
      <c r="E54" s="310" t="s">
        <v>28</v>
      </c>
      <c r="F54" s="310"/>
      <c r="G54" s="310"/>
      <c r="H54" s="188">
        <f>Lizenznehmer!H98</f>
        <v>43541</v>
      </c>
      <c r="I54" s="187" t="s">
        <v>59</v>
      </c>
    </row>
    <row r="55" spans="1:16" x14ac:dyDescent="0.2">
      <c r="A55" s="13"/>
      <c r="B55" s="50"/>
      <c r="C55" s="13"/>
      <c r="D55" s="13"/>
      <c r="E55" s="13"/>
      <c r="F55" s="13"/>
      <c r="G55" s="13"/>
      <c r="H55" s="13"/>
      <c r="I55" s="13"/>
    </row>
    <row r="56" spans="1:16" x14ac:dyDescent="0.2">
      <c r="A56" s="13"/>
      <c r="B56" s="13"/>
      <c r="C56" s="13"/>
      <c r="D56" s="13"/>
      <c r="E56" s="13"/>
      <c r="F56" s="13"/>
      <c r="G56" s="13"/>
      <c r="H56" s="13"/>
      <c r="I56" s="13"/>
    </row>
  </sheetData>
  <sheetProtection password="9453" sheet="1" objects="1" scenarios="1" selectLockedCells="1"/>
  <mergeCells count="35">
    <mergeCell ref="AJ10:AO10"/>
    <mergeCell ref="AJ11:AO11"/>
    <mergeCell ref="AJ5:AL5"/>
    <mergeCell ref="AJ6:AO6"/>
    <mergeCell ref="AJ7:AO7"/>
    <mergeCell ref="AJ8:AO8"/>
    <mergeCell ref="AJ9:AO9"/>
    <mergeCell ref="C30:H30"/>
    <mergeCell ref="C31:H31"/>
    <mergeCell ref="B1:F1"/>
    <mergeCell ref="B2:F2"/>
    <mergeCell ref="H25:I25"/>
    <mergeCell ref="G21:I21"/>
    <mergeCell ref="F5:G5"/>
    <mergeCell ref="H11:I11"/>
    <mergeCell ref="H12:I12"/>
    <mergeCell ref="H10:I10"/>
    <mergeCell ref="H16:I16"/>
    <mergeCell ref="G1:H1"/>
    <mergeCell ref="G2:H2"/>
    <mergeCell ref="E54:G54"/>
    <mergeCell ref="F36:G36"/>
    <mergeCell ref="H43:I43"/>
    <mergeCell ref="H44:I44"/>
    <mergeCell ref="H45:I45"/>
    <mergeCell ref="G39:I39"/>
    <mergeCell ref="G47:I47"/>
    <mergeCell ref="C52:H52"/>
    <mergeCell ref="B38:C38"/>
    <mergeCell ref="AJ45:AO45"/>
    <mergeCell ref="AJ40:AL40"/>
    <mergeCell ref="AJ41:AO41"/>
    <mergeCell ref="AJ42:AO42"/>
    <mergeCell ref="AJ43:AO43"/>
    <mergeCell ref="AJ44:AO44"/>
  </mergeCells>
  <phoneticPr fontId="0" type="noConversion"/>
  <conditionalFormatting sqref="H10">
    <cfRule type="expression" dxfId="179" priority="33" stopIfTrue="1">
      <formula>$H$7*$H$8*$H$9&gt;0</formula>
    </cfRule>
    <cfRule type="expression" dxfId="178" priority="34" stopIfTrue="1">
      <formula>$D$5=0</formula>
    </cfRule>
  </conditionalFormatting>
  <conditionalFormatting sqref="H12:I12">
    <cfRule type="expression" dxfId="177" priority="35" stopIfTrue="1">
      <formula>LEN($H$11)&gt;0</formula>
    </cfRule>
    <cfRule type="expression" dxfId="176" priority="36" stopIfTrue="1">
      <formula>$D$5&lt;1</formula>
    </cfRule>
  </conditionalFormatting>
  <conditionalFormatting sqref="C54:E54">
    <cfRule type="expression" dxfId="175" priority="38" stopIfTrue="1">
      <formula>$B$54=0</formula>
    </cfRule>
  </conditionalFormatting>
  <conditionalFormatting sqref="H7:H9 H11:I11 H13:H15 H22:H24">
    <cfRule type="expression" dxfId="174" priority="13" stopIfTrue="1">
      <formula>$D$5&lt;1</formula>
    </cfRule>
  </conditionalFormatting>
  <conditionalFormatting sqref="H16">
    <cfRule type="expression" dxfId="173" priority="41" stopIfTrue="1">
      <formula>$H$13*$H$14*$H$15&gt;0</formula>
    </cfRule>
    <cfRule type="expression" dxfId="172" priority="42" stopIfTrue="1">
      <formula>$D$5=0</formula>
    </cfRule>
  </conditionalFormatting>
  <conditionalFormatting sqref="H25:I25">
    <cfRule type="expression" dxfId="171" priority="43" stopIfTrue="1">
      <formula>$H$22*$H$23*$H$24&gt;0</formula>
    </cfRule>
    <cfRule type="expression" dxfId="170" priority="44" stopIfTrue="1">
      <formula>$D$5=0</formula>
    </cfRule>
  </conditionalFormatting>
  <conditionalFormatting sqref="H40:H42 H44:I44">
    <cfRule type="expression" dxfId="169" priority="5" stopIfTrue="1">
      <formula>$D$36&lt;1</formula>
    </cfRule>
  </conditionalFormatting>
  <conditionalFormatting sqref="D38">
    <cfRule type="expression" dxfId="168" priority="12" stopIfTrue="1">
      <formula>$D$36=0</formula>
    </cfRule>
    <cfRule type="expression" dxfId="167" priority="46">
      <formula>$F$38=1</formula>
    </cfRule>
  </conditionalFormatting>
  <conditionalFormatting sqref="H43:I43">
    <cfRule type="expression" dxfId="166" priority="47" stopIfTrue="1">
      <formula>$H$40*$H$41*$H$42&gt;0</formula>
    </cfRule>
    <cfRule type="expression" dxfId="165" priority="48" stopIfTrue="1">
      <formula>$D$36=0</formula>
    </cfRule>
  </conditionalFormatting>
  <conditionalFormatting sqref="H45:I45">
    <cfRule type="expression" dxfId="164" priority="49" stopIfTrue="1">
      <formula>LEN($H$44)&gt;0</formula>
    </cfRule>
    <cfRule type="expression" dxfId="163" priority="50" stopIfTrue="1">
      <formula>$D$36&lt;1</formula>
    </cfRule>
  </conditionalFormatting>
  <conditionalFormatting sqref="B5 B36">
    <cfRule type="expression" dxfId="162" priority="32" stopIfTrue="1">
      <formula>$D$5&gt;3</formula>
    </cfRule>
  </conditionalFormatting>
  <conditionalFormatting sqref="H7">
    <cfRule type="expression" dxfId="161" priority="29">
      <formula>$F$7=1</formula>
    </cfRule>
    <cfRule type="expression" dxfId="160" priority="40">
      <formula>$K$7+$L$7&gt;0</formula>
    </cfRule>
  </conditionalFormatting>
  <conditionalFormatting sqref="H8">
    <cfRule type="expression" dxfId="159" priority="24">
      <formula>$F$8=1</formula>
    </cfRule>
    <cfRule type="expression" dxfId="158" priority="30">
      <formula>$K$8+$L$8&gt;0</formula>
    </cfRule>
  </conditionalFormatting>
  <conditionalFormatting sqref="AD19">
    <cfRule type="expression" dxfId="157" priority="28" stopIfTrue="1">
      <formula>$AD$19&gt;$AF$19</formula>
    </cfRule>
  </conditionalFormatting>
  <conditionalFormatting sqref="AD22">
    <cfRule type="expression" dxfId="156" priority="27" stopIfTrue="1">
      <formula>$AD$22&gt;$AF$19</formula>
    </cfRule>
  </conditionalFormatting>
  <conditionalFormatting sqref="C31:H31">
    <cfRule type="expression" dxfId="155" priority="26">
      <formula>$AF$22&gt;0</formula>
    </cfRule>
    <cfRule type="expression" dxfId="154" priority="1">
      <formula>$L$6=0</formula>
    </cfRule>
  </conditionalFormatting>
  <conditionalFormatting sqref="C30:H30">
    <cfRule type="expression" dxfId="153" priority="25">
      <formula>$K$26&gt;0</formula>
    </cfRule>
  </conditionalFormatting>
  <conditionalFormatting sqref="H9">
    <cfRule type="expression" dxfId="152" priority="22">
      <formula>$H$9=""</formula>
    </cfRule>
    <cfRule type="expression" dxfId="151" priority="23">
      <formula>$K$9+$L$9&gt;0</formula>
    </cfRule>
  </conditionalFormatting>
  <conditionalFormatting sqref="H11:I11">
    <cfRule type="expression" dxfId="150" priority="21">
      <formula>$F$12=1</formula>
    </cfRule>
  </conditionalFormatting>
  <conditionalFormatting sqref="H13">
    <cfRule type="expression" dxfId="149" priority="20">
      <formula>$F$13=1</formula>
    </cfRule>
  </conditionalFormatting>
  <conditionalFormatting sqref="H14">
    <cfRule type="expression" dxfId="148" priority="19">
      <formula>$F$14=1</formula>
    </cfRule>
  </conditionalFormatting>
  <conditionalFormatting sqref="H15">
    <cfRule type="expression" dxfId="147" priority="18">
      <formula>$F$15=1</formula>
    </cfRule>
  </conditionalFormatting>
  <conditionalFormatting sqref="H22">
    <cfRule type="expression" dxfId="146" priority="16">
      <formula>$K$22+$L$22&gt;0</formula>
    </cfRule>
    <cfRule type="expression" dxfId="145" priority="17">
      <formula>$F$22=1</formula>
    </cfRule>
  </conditionalFormatting>
  <conditionalFormatting sqref="H23">
    <cfRule type="expression" dxfId="144" priority="15">
      <formula>$F$23=1</formula>
    </cfRule>
  </conditionalFormatting>
  <conditionalFormatting sqref="H24">
    <cfRule type="expression" dxfId="143" priority="14">
      <formula>$F$24=1</formula>
    </cfRule>
  </conditionalFormatting>
  <conditionalFormatting sqref="H44:I44">
    <cfRule type="expression" dxfId="142" priority="45">
      <formula>$F$45=1</formula>
    </cfRule>
  </conditionalFormatting>
  <conditionalFormatting sqref="H40">
    <cfRule type="expression" dxfId="141" priority="10">
      <formula>$F$40=1</formula>
    </cfRule>
    <cfRule type="expression" dxfId="140" priority="11">
      <formula>$K$40+$L$40&gt;0</formula>
    </cfRule>
  </conditionalFormatting>
  <conditionalFormatting sqref="C52:H52">
    <cfRule type="expression" dxfId="139" priority="8">
      <formula>$K$39&gt;0</formula>
    </cfRule>
  </conditionalFormatting>
  <conditionalFormatting sqref="H41">
    <cfRule type="expression" dxfId="138" priority="7">
      <formula>$F$41=1</formula>
    </cfRule>
    <cfRule type="expression" dxfId="137" priority="9">
      <formula>$K$41+$L$41&gt;0</formula>
    </cfRule>
  </conditionalFormatting>
  <conditionalFormatting sqref="H42">
    <cfRule type="expression" dxfId="136" priority="6">
      <formula>$F$42=1</formula>
    </cfRule>
  </conditionalFormatting>
  <conditionalFormatting sqref="G47:I47">
    <cfRule type="expression" dxfId="135" priority="3">
      <formula>$L$39=0</formula>
    </cfRule>
    <cfRule type="expression" dxfId="134" priority="4">
      <formula>$K$49=1</formula>
    </cfRule>
  </conditionalFormatting>
  <conditionalFormatting sqref="H46">
    <cfRule type="expression" dxfId="133" priority="2">
      <formula>$L$39=0</formula>
    </cfRule>
  </conditionalFormatting>
  <dataValidations xWindow="826" yWindow="360" count="11">
    <dataValidation type="list" allowBlank="1" showInputMessage="1" showErrorMessage="1" error="Eingabewert ist nicht zugelassen." sqref="H9 H23">
      <formula1>$A$11:$A$31</formula1>
    </dataValidation>
    <dataValidation type="list" allowBlank="1" showInputMessage="1" showErrorMessage="1" error="Eingabewert ist nicht zugelassen." sqref="H24">
      <formula1>$A$6:$A$31</formula1>
    </dataValidation>
    <dataValidation type="list" allowBlank="1" showInputMessage="1" showErrorMessage="1" error="Eingabewert ist nicht zugelassen." prompt="Dicke des Einfassungsteils_x000a_am bzw. unterhalb des_x000a_Grabsteins." sqref="H15">
      <formula1>$A$6:$A$31</formula1>
    </dataValidation>
    <dataValidation type="list" allowBlank="1" showInputMessage="1" showErrorMessage="1" sqref="D38">
      <formula1>$A$4:$A$6</formula1>
    </dataValidation>
    <dataValidation type="list" allowBlank="1" showInputMessage="1" showErrorMessage="1" error="Eingabewert ist nicht_x000a_zugelassen." prompt="Dickde der Einfassung." sqref="H42">
      <formula1>$A$6:$A$9</formula1>
    </dataValidation>
    <dataValidation type="list" allowBlank="1" showInputMessage="1" showErrorMessage="1" error="Eingabewert ist nicht zugelassen." prompt="Dicke der seitlichen_x000a_Einfassungsteile." sqref="H14">
      <formula1>$A$6:$A$31</formula1>
    </dataValidation>
    <dataValidation type="list" allowBlank="1" showInputMessage="1" showErrorMessage="1" error="Eingabewert ist nicht zugelassen." prompt="Dicke des Einfassungs-_x000a_teils am Fuß." sqref="H13">
      <formula1>$A$6:$A$31</formula1>
    </dataValidation>
    <dataValidation allowBlank="1" showInputMessage="1" showErrorMessage="1" prompt="Größte Breite der_x000a_Abdeckplatte." sqref="H40"/>
    <dataValidation allowBlank="1" showInputMessage="1" showErrorMessage="1" prompt="Größte Länge der_x000a_Abdeckplatte." sqref="H41"/>
    <dataValidation type="list" allowBlank="1" showInputMessage="1" showErrorMessage="1" error="Wert ist nicht zulässig." prompt="0 = Krein Abdeckplatte_x000a_1 = Abdeckplattel vorhanden" sqref="B36">
      <formula1>$A$3:$A$4</formula1>
    </dataValidation>
    <dataValidation type="list" allowBlank="1" showInputMessage="1" showErrorMessage="1" error="Wert ist nicht zulässig." prompt="0 = Kreine Einfassung_x000a_1 = Eomfassimg vorhanden" sqref="B5">
      <formula1>$A$3:$A$4</formula1>
    </dataValidation>
  </dataValidations>
  <hyperlinks>
    <hyperlink ref="I54" r:id="rId1"/>
  </hyperlinks>
  <pageMargins left="0.78740157499999996" right="0.78740157499999996" top="0.984251969" bottom="0.984251969" header="0.4921259845" footer="0.4921259845"/>
  <pageSetup paperSize="9" orientation="portrait" horizontalDpi="1200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44"/>
  </sheetPr>
  <dimension ref="A1:BF212"/>
  <sheetViews>
    <sheetView showGridLines="0" zoomScale="145" zoomScaleNormal="145" workbookViewId="0">
      <selection activeCell="B4" sqref="B4"/>
    </sheetView>
  </sheetViews>
  <sheetFormatPr baseColWidth="10" defaultRowHeight="12.75" x14ac:dyDescent="0.2"/>
  <cols>
    <col min="1" max="1" width="3.28515625" customWidth="1"/>
    <col min="5" max="5" width="11.7109375" customWidth="1"/>
    <col min="6" max="6" width="14.5703125" customWidth="1"/>
    <col min="7" max="7" width="7.85546875" customWidth="1"/>
    <col min="8" max="8" width="12.140625" customWidth="1"/>
    <col min="9" max="9" width="4.7109375" customWidth="1"/>
    <col min="10" max="16" width="4.7109375" hidden="1" customWidth="1"/>
    <col min="17" max="17" width="5.85546875" hidden="1" customWidth="1"/>
    <col min="18" max="18" width="6.5703125" hidden="1" customWidth="1"/>
    <col min="19" max="19" width="5.28515625" hidden="1" customWidth="1"/>
    <col min="20" max="20" width="7.5703125" hidden="1" customWidth="1"/>
    <col min="21" max="26" width="4.7109375" hidden="1" customWidth="1"/>
    <col min="27" max="27" width="5.42578125" hidden="1" customWidth="1"/>
    <col min="28" max="28" width="18.42578125" hidden="1" customWidth="1"/>
    <col min="29" max="29" width="5.42578125" hidden="1" customWidth="1"/>
    <col min="30" max="30" width="8.7109375" hidden="1" customWidth="1"/>
    <col min="31" max="32" width="6.140625" hidden="1" customWidth="1"/>
    <col min="33" max="34" width="8.7109375" hidden="1" customWidth="1"/>
    <col min="35" max="35" width="8.85546875" hidden="1" customWidth="1"/>
    <col min="36" max="36" width="8.7109375" hidden="1" customWidth="1"/>
    <col min="37" max="37" width="11.42578125" hidden="1" customWidth="1"/>
    <col min="38" max="38" width="44.85546875" hidden="1" customWidth="1"/>
    <col min="39" max="43" width="4.85546875" hidden="1" customWidth="1"/>
    <col min="44" max="58" width="11.42578125" hidden="1" customWidth="1"/>
    <col min="59" max="68" width="11.42578125" customWidth="1"/>
  </cols>
  <sheetData>
    <row r="1" spans="1:40" x14ac:dyDescent="0.2">
      <c r="B1" s="317" t="str">
        <f>Lizenznehmer!A100</f>
        <v>Friedhofsverwaltung</v>
      </c>
      <c r="C1" s="317"/>
      <c r="D1" s="317"/>
      <c r="E1" s="317"/>
      <c r="F1" s="329" t="str">
        <f>Lizenznehmer!J100</f>
        <v>Tel.: 06074 911360</v>
      </c>
      <c r="G1" s="329"/>
      <c r="H1" s="178" t="s">
        <v>305</v>
      </c>
    </row>
    <row r="2" spans="1:40" ht="13.5" thickBot="1" x14ac:dyDescent="0.25">
      <c r="B2" s="292" t="str">
        <f>Lizenznehmer!A101</f>
        <v>63322 Rödermark, Dieburger Straße 13-17</v>
      </c>
      <c r="C2" s="292"/>
      <c r="D2" s="292"/>
      <c r="E2" s="292"/>
      <c r="F2" s="330" t="str">
        <f>Lizenznehmer!J101</f>
        <v>Fax: 06074 91 11 360</v>
      </c>
      <c r="G2" s="330"/>
      <c r="H2" s="179">
        <v>4</v>
      </c>
      <c r="N2">
        <v>0</v>
      </c>
      <c r="O2" s="284" t="s">
        <v>217</v>
      </c>
      <c r="P2" s="284"/>
      <c r="Q2" s="284"/>
      <c r="R2" s="284"/>
      <c r="S2" s="284"/>
      <c r="T2" s="284"/>
      <c r="U2" s="284"/>
    </row>
    <row r="3" spans="1:40" ht="13.5" thickTop="1" x14ac:dyDescent="0.2">
      <c r="A3" s="26">
        <v>0</v>
      </c>
      <c r="G3" s="26"/>
      <c r="H3" s="2">
        <v>0</v>
      </c>
      <c r="N3">
        <v>1</v>
      </c>
      <c r="O3" s="284" t="s">
        <v>218</v>
      </c>
      <c r="P3" s="284"/>
      <c r="Q3" s="284"/>
      <c r="R3" s="284"/>
      <c r="S3" s="284"/>
      <c r="T3" s="284"/>
      <c r="U3" s="284"/>
      <c r="AA3" s="99"/>
      <c r="AB3" s="99" t="s">
        <v>165</v>
      </c>
      <c r="AC3" s="100">
        <f>G8/1000</f>
        <v>0</v>
      </c>
      <c r="AD3" s="99" t="s">
        <v>82</v>
      </c>
      <c r="AE3" s="99"/>
      <c r="AF3" s="99"/>
      <c r="AG3" s="99"/>
      <c r="AH3" s="99"/>
      <c r="AI3" s="99"/>
      <c r="AJ3" s="99"/>
    </row>
    <row r="4" spans="1:40" ht="15.75" x14ac:dyDescent="0.25">
      <c r="A4" s="26">
        <v>1</v>
      </c>
      <c r="B4" s="29">
        <v>0</v>
      </c>
      <c r="D4" s="326" t="str">
        <f>VLOOKUP(B4,N2:U9,2)</f>
        <v>Keine Gründung</v>
      </c>
      <c r="E4" s="326"/>
      <c r="F4" s="326"/>
      <c r="G4" s="326"/>
      <c r="H4" s="2">
        <v>1</v>
      </c>
      <c r="L4" s="49">
        <f>'Grabstein+Sockel'!L4</f>
        <v>0</v>
      </c>
      <c r="N4">
        <v>2</v>
      </c>
      <c r="O4" s="284" t="s">
        <v>219</v>
      </c>
      <c r="P4" s="284"/>
      <c r="Q4" s="284"/>
      <c r="R4" s="284"/>
      <c r="S4" s="284"/>
      <c r="T4" s="284"/>
      <c r="U4" s="284"/>
      <c r="AA4" s="99"/>
      <c r="AB4" s="99" t="s">
        <v>166</v>
      </c>
      <c r="AC4" s="100">
        <f>G9/100</f>
        <v>0</v>
      </c>
      <c r="AD4" s="99" t="s">
        <v>82</v>
      </c>
      <c r="AE4" s="99"/>
      <c r="AF4" s="99"/>
      <c r="AG4" s="99"/>
      <c r="AH4" s="99"/>
      <c r="AI4" s="99"/>
      <c r="AJ4" s="99"/>
    </row>
    <row r="5" spans="1:40" ht="13.5" thickBot="1" x14ac:dyDescent="0.25">
      <c r="A5" s="26">
        <v>2</v>
      </c>
      <c r="D5" s="4" t="str">
        <f>IF(D6&gt;1,"maximal 1 Teil","")</f>
        <v/>
      </c>
      <c r="G5" s="26"/>
      <c r="L5" s="126">
        <f>B4*L4</f>
        <v>0</v>
      </c>
      <c r="N5">
        <v>3</v>
      </c>
      <c r="O5" s="284" t="s">
        <v>272</v>
      </c>
      <c r="P5" s="348"/>
      <c r="Q5" s="348"/>
      <c r="R5" s="348"/>
      <c r="S5" s="348"/>
      <c r="T5" s="348"/>
      <c r="U5" s="348"/>
      <c r="AA5" s="99"/>
      <c r="AB5" s="99" t="s">
        <v>167</v>
      </c>
      <c r="AC5" s="100">
        <f>G10/100</f>
        <v>0</v>
      </c>
      <c r="AD5" s="99" t="s">
        <v>168</v>
      </c>
      <c r="AE5" s="101">
        <f>IF(AC5&gt;1.2,1.2,AC5)</f>
        <v>0</v>
      </c>
      <c r="AF5" s="99" t="s">
        <v>168</v>
      </c>
      <c r="AG5" s="99"/>
      <c r="AH5" s="99"/>
      <c r="AI5" s="99"/>
      <c r="AJ5" s="99"/>
    </row>
    <row r="6" spans="1:40" ht="14.25" thickTop="1" thickBot="1" x14ac:dyDescent="0.25">
      <c r="A6" s="26">
        <v>3</v>
      </c>
      <c r="B6" s="24"/>
      <c r="D6" s="120">
        <f>IF(B4=1,1,0)</f>
        <v>0</v>
      </c>
      <c r="F6" s="299" t="s">
        <v>29</v>
      </c>
      <c r="G6" s="300"/>
      <c r="N6">
        <v>4</v>
      </c>
      <c r="O6" s="284" t="s">
        <v>296</v>
      </c>
      <c r="P6" s="348"/>
      <c r="Q6" s="348"/>
      <c r="R6" s="348"/>
      <c r="S6" s="348"/>
      <c r="T6" s="348"/>
      <c r="U6" s="348"/>
      <c r="AA6" s="99"/>
      <c r="AB6" s="99" t="s">
        <v>169</v>
      </c>
      <c r="AC6" s="102">
        <f>AC5/20</f>
        <v>0</v>
      </c>
      <c r="AD6" s="99" t="s">
        <v>168</v>
      </c>
      <c r="AE6" s="99"/>
      <c r="AF6" s="99"/>
      <c r="AG6" s="99"/>
      <c r="AH6" s="99"/>
      <c r="AI6" s="99"/>
      <c r="AJ6" s="99"/>
      <c r="AL6" s="136" t="s">
        <v>210</v>
      </c>
    </row>
    <row r="7" spans="1:40" ht="13.5" thickTop="1" x14ac:dyDescent="0.2">
      <c r="A7" s="26">
        <v>4</v>
      </c>
      <c r="B7" s="24"/>
      <c r="F7" s="37"/>
      <c r="N7">
        <v>5</v>
      </c>
      <c r="O7" s="284" t="s">
        <v>358</v>
      </c>
      <c r="P7" s="348"/>
      <c r="Q7" s="348"/>
      <c r="R7" s="348"/>
      <c r="S7" s="348"/>
      <c r="T7" s="348"/>
      <c r="U7" s="348"/>
      <c r="AA7" s="99"/>
      <c r="AB7" s="99"/>
      <c r="AC7" s="99"/>
      <c r="AD7" s="99"/>
      <c r="AE7" s="99"/>
      <c r="AF7" s="99"/>
      <c r="AG7" s="99"/>
      <c r="AH7" s="99"/>
      <c r="AI7" s="99"/>
      <c r="AJ7" s="99"/>
      <c r="AL7" s="135" t="s">
        <v>229</v>
      </c>
      <c r="AN7" s="93">
        <f>E16</f>
        <v>0</v>
      </c>
    </row>
    <row r="8" spans="1:40" ht="15.75" x14ac:dyDescent="0.3">
      <c r="A8" s="26">
        <v>5</v>
      </c>
      <c r="E8" s="51"/>
      <c r="F8" s="37" t="s">
        <v>164</v>
      </c>
      <c r="G8" s="3">
        <f>'Grabstein+Sockel'!H38</f>
        <v>0</v>
      </c>
      <c r="H8" s="13" t="s">
        <v>124</v>
      </c>
      <c r="N8">
        <v>6</v>
      </c>
      <c r="O8" s="284" t="s">
        <v>362</v>
      </c>
      <c r="P8" s="348"/>
      <c r="Q8" s="348"/>
      <c r="R8" s="348"/>
      <c r="S8" s="348"/>
      <c r="T8" s="348"/>
      <c r="U8" s="348"/>
      <c r="AA8" s="103">
        <f>IF(AC8&lt;AI8,1,0)</f>
        <v>1</v>
      </c>
      <c r="AB8" s="99" t="s">
        <v>170</v>
      </c>
      <c r="AC8" s="100">
        <f>(IF(N11=0,0.1,G11/100))</f>
        <v>0.1</v>
      </c>
      <c r="AD8" s="99" t="s">
        <v>168</v>
      </c>
      <c r="AE8" s="99"/>
      <c r="AF8" s="99"/>
      <c r="AG8" s="99"/>
      <c r="AH8" s="99" t="s">
        <v>171</v>
      </c>
      <c r="AI8" s="99">
        <v>0.4</v>
      </c>
      <c r="AJ8" s="99"/>
      <c r="AL8" s="133" t="s">
        <v>158</v>
      </c>
      <c r="AN8" s="93">
        <f>K10</f>
        <v>0</v>
      </c>
    </row>
    <row r="9" spans="1:40" ht="15.75" x14ac:dyDescent="0.3">
      <c r="A9" s="26">
        <v>6</v>
      </c>
      <c r="B9" s="338" t="s">
        <v>95</v>
      </c>
      <c r="C9" s="338"/>
      <c r="D9" s="338"/>
      <c r="E9" s="51"/>
      <c r="F9" s="37" t="s">
        <v>31</v>
      </c>
      <c r="G9" s="8">
        <f>'Grabstein+Sockel'!C35</f>
        <v>0</v>
      </c>
      <c r="H9" s="7" t="s">
        <v>12</v>
      </c>
      <c r="N9">
        <v>7</v>
      </c>
      <c r="O9" s="284" t="s">
        <v>220</v>
      </c>
      <c r="P9" s="348"/>
      <c r="Q9" s="348"/>
      <c r="R9" s="348"/>
      <c r="S9" s="348"/>
      <c r="T9" s="348"/>
      <c r="U9" s="348"/>
      <c r="AA9" s="103">
        <f>IF(AC9&lt;AI9,1,0)</f>
        <v>1</v>
      </c>
      <c r="AB9" s="99" t="s">
        <v>172</v>
      </c>
      <c r="AC9" s="100">
        <f>IF(N13=0,0.1,G13/100)</f>
        <v>0.1</v>
      </c>
      <c r="AD9" s="99" t="s">
        <v>168</v>
      </c>
      <c r="AE9" s="99"/>
      <c r="AF9" s="99"/>
      <c r="AG9" s="99"/>
      <c r="AH9" s="99" t="s">
        <v>173</v>
      </c>
      <c r="AI9" s="99">
        <v>0.25</v>
      </c>
      <c r="AJ9" s="99"/>
      <c r="AL9" s="133" t="s">
        <v>235</v>
      </c>
      <c r="AN9" s="93">
        <f>E11+E12+E13</f>
        <v>0</v>
      </c>
    </row>
    <row r="10" spans="1:40" ht="15.75" x14ac:dyDescent="0.3">
      <c r="A10" s="26">
        <v>7</v>
      </c>
      <c r="B10" s="338" t="s">
        <v>96</v>
      </c>
      <c r="C10" s="338"/>
      <c r="D10" s="338"/>
      <c r="E10" s="51"/>
      <c r="F10" s="37" t="s">
        <v>4</v>
      </c>
      <c r="G10" s="3">
        <f>'Grabstein+Sockel'!D38</f>
        <v>0</v>
      </c>
      <c r="H10" s="13" t="s">
        <v>0</v>
      </c>
      <c r="K10" s="47">
        <f>(K11+L11+K12+L12+K13+L13)*L10</f>
        <v>0</v>
      </c>
      <c r="L10" s="49">
        <f>D6*L4</f>
        <v>0</v>
      </c>
      <c r="M10" s="36"/>
      <c r="N10" s="36"/>
      <c r="O10" s="36"/>
      <c r="P10" s="41" t="s">
        <v>102</v>
      </c>
      <c r="Q10" s="13" t="s">
        <v>103</v>
      </c>
      <c r="AA10" s="103">
        <f>IF(AC10&gt;AI10,1,0)</f>
        <v>0</v>
      </c>
      <c r="AB10" s="99" t="s">
        <v>174</v>
      </c>
      <c r="AC10" s="100">
        <f>G12/100</f>
        <v>0.2</v>
      </c>
      <c r="AD10" s="99" t="s">
        <v>168</v>
      </c>
      <c r="AE10" s="99"/>
      <c r="AF10" s="99"/>
      <c r="AG10" s="99"/>
      <c r="AH10" s="99" t="s">
        <v>175</v>
      </c>
      <c r="AI10" s="99">
        <v>0.6</v>
      </c>
      <c r="AJ10" s="99"/>
      <c r="AL10" s="133" t="s">
        <v>234</v>
      </c>
      <c r="AN10" s="93" t="e">
        <f>AA31</f>
        <v>#DIV/0!</v>
      </c>
    </row>
    <row r="11" spans="1:40" ht="15.75" x14ac:dyDescent="0.3">
      <c r="A11" s="26">
        <v>8</v>
      </c>
      <c r="B11" s="338" t="s">
        <v>97</v>
      </c>
      <c r="C11" s="338"/>
      <c r="D11" s="338"/>
      <c r="E11" s="26">
        <f>IF($D$6&lt;1,0,IF($G$11&lt;=0,1,0))</f>
        <v>0</v>
      </c>
      <c r="F11" s="1" t="s">
        <v>90</v>
      </c>
      <c r="G11" s="21">
        <v>200</v>
      </c>
      <c r="H11" t="s">
        <v>0</v>
      </c>
      <c r="K11" s="47">
        <f>IF(N11&lt;P11,1,0)</f>
        <v>1</v>
      </c>
      <c r="L11" s="47">
        <f>IF(N11&gt;Q11,1,0)</f>
        <v>0</v>
      </c>
      <c r="M11" s="91"/>
      <c r="N11" s="47">
        <f>G11*L10</f>
        <v>0</v>
      </c>
      <c r="O11" s="36"/>
      <c r="P11" s="44">
        <v>40</v>
      </c>
      <c r="Q11" s="65">
        <v>250</v>
      </c>
      <c r="AA11" s="103">
        <f>IF(AG7+AC10&lt;AI11,1,0)</f>
        <v>0</v>
      </c>
      <c r="AB11" s="99" t="s">
        <v>176</v>
      </c>
      <c r="AC11" s="99">
        <f>AC8*AC9</f>
        <v>1.0000000000000002E-2</v>
      </c>
      <c r="AD11" s="99" t="s">
        <v>85</v>
      </c>
      <c r="AE11" s="99"/>
      <c r="AF11" s="99"/>
      <c r="AG11" s="99"/>
      <c r="AH11" s="99" t="s">
        <v>177</v>
      </c>
      <c r="AI11" s="99">
        <v>0.2</v>
      </c>
      <c r="AJ11" s="99"/>
      <c r="AL11" s="133"/>
      <c r="AM11" s="132"/>
    </row>
    <row r="12" spans="1:40" ht="15.75" x14ac:dyDescent="0.3">
      <c r="A12" s="26">
        <v>9</v>
      </c>
      <c r="E12" s="26">
        <f>IF($D$6&lt;1,0,IF($G$12&lt;=0,1,0))</f>
        <v>0</v>
      </c>
      <c r="F12" s="1" t="s">
        <v>30</v>
      </c>
      <c r="G12" s="21">
        <v>20</v>
      </c>
      <c r="H12" t="s">
        <v>0</v>
      </c>
      <c r="K12" s="47">
        <f>IF(N12&lt;P12,1,0)</f>
        <v>1</v>
      </c>
      <c r="L12" s="47">
        <f>IF(N12&gt;Q12,1,0)</f>
        <v>0</v>
      </c>
      <c r="M12" s="91"/>
      <c r="N12" s="47">
        <f>G12*L10</f>
        <v>0</v>
      </c>
      <c r="O12" s="36"/>
      <c r="P12" s="44">
        <v>20</v>
      </c>
      <c r="Q12" s="65">
        <v>70</v>
      </c>
      <c r="AA12" s="99"/>
      <c r="AB12" s="99" t="s">
        <v>178</v>
      </c>
      <c r="AC12" s="99">
        <f>AC8*AC9*AC10</f>
        <v>2.0000000000000005E-3</v>
      </c>
      <c r="AD12" s="99" t="s">
        <v>83</v>
      </c>
      <c r="AE12" s="99"/>
      <c r="AF12" s="99"/>
      <c r="AG12" s="99"/>
      <c r="AH12" s="99"/>
      <c r="AI12" s="99"/>
      <c r="AJ12" s="99"/>
    </row>
    <row r="13" spans="1:40" ht="15.75" x14ac:dyDescent="0.3">
      <c r="A13" s="26">
        <v>10</v>
      </c>
      <c r="E13" s="26">
        <f>IF($D$6&lt;1,0,IF($G$13&lt;=0,1,0))</f>
        <v>0</v>
      </c>
      <c r="F13" s="1" t="s">
        <v>92</v>
      </c>
      <c r="G13" s="21">
        <v>50</v>
      </c>
      <c r="H13" t="s">
        <v>0</v>
      </c>
      <c r="K13" s="47">
        <f>IF(N13&lt;P13,1,0)</f>
        <v>1</v>
      </c>
      <c r="L13" s="47">
        <f>IF(N13&gt;Q13,1,0)</f>
        <v>0</v>
      </c>
      <c r="M13" s="91"/>
      <c r="N13" s="47">
        <f>G13*L10</f>
        <v>0</v>
      </c>
      <c r="O13" s="36"/>
      <c r="P13" s="44">
        <v>20</v>
      </c>
      <c r="Q13" s="65">
        <v>100</v>
      </c>
      <c r="AA13" s="99"/>
      <c r="AB13" s="99" t="s">
        <v>179</v>
      </c>
      <c r="AC13" s="102">
        <f>AC12*AF13</f>
        <v>4.8000000000000015E-2</v>
      </c>
      <c r="AD13" s="99" t="s">
        <v>82</v>
      </c>
      <c r="AE13" s="99" t="s">
        <v>104</v>
      </c>
      <c r="AF13" s="99">
        <v>24</v>
      </c>
      <c r="AG13" s="99" t="s">
        <v>81</v>
      </c>
      <c r="AH13" s="99"/>
      <c r="AI13" s="99"/>
      <c r="AJ13" s="99"/>
    </row>
    <row r="14" spans="1:40" x14ac:dyDescent="0.2">
      <c r="A14" s="26">
        <v>11</v>
      </c>
      <c r="E14" s="26"/>
      <c r="G14" s="256"/>
      <c r="H14" s="256"/>
      <c r="AA14" s="99"/>
      <c r="AB14" s="104" t="s">
        <v>180</v>
      </c>
      <c r="AC14" s="102">
        <f>AC6/2</f>
        <v>0</v>
      </c>
      <c r="AD14" s="99" t="s">
        <v>168</v>
      </c>
      <c r="AE14" s="99" t="s">
        <v>181</v>
      </c>
      <c r="AF14" s="99">
        <f>AC14*AC4</f>
        <v>0</v>
      </c>
      <c r="AG14" s="99" t="s">
        <v>134</v>
      </c>
      <c r="AH14" s="99"/>
      <c r="AI14" s="105"/>
      <c r="AJ14" s="99"/>
    </row>
    <row r="15" spans="1:40" x14ac:dyDescent="0.2">
      <c r="A15" s="26">
        <v>12</v>
      </c>
      <c r="E15" s="26"/>
      <c r="K15" s="59"/>
      <c r="L15" s="137"/>
      <c r="M15" s="137"/>
      <c r="N15" s="137"/>
      <c r="Q15" s="59" t="s">
        <v>91</v>
      </c>
      <c r="R15" s="137"/>
      <c r="S15" s="137"/>
      <c r="T15" s="137"/>
      <c r="AA15" s="99"/>
      <c r="AB15" s="99" t="s">
        <v>182</v>
      </c>
      <c r="AC15" s="102" t="e">
        <f>AC14*(1+2*AC10/AC5)</f>
        <v>#DIV/0!</v>
      </c>
      <c r="AD15" s="99"/>
      <c r="AE15" s="106" t="s">
        <v>183</v>
      </c>
      <c r="AF15" s="106"/>
      <c r="AG15" s="106"/>
      <c r="AH15" s="99"/>
      <c r="AI15" s="107"/>
      <c r="AJ15" s="99"/>
    </row>
    <row r="16" spans="1:40" x14ac:dyDescent="0.2">
      <c r="A16" s="26">
        <v>13</v>
      </c>
      <c r="E16" s="26">
        <f>IF($D$6&lt;1,0,IF($G$16&lt;=0,1,0))</f>
        <v>0</v>
      </c>
      <c r="F16" s="1" t="s">
        <v>26</v>
      </c>
      <c r="G16" s="336" t="s">
        <v>91</v>
      </c>
      <c r="H16" s="337"/>
      <c r="K16" s="59"/>
      <c r="L16" s="137"/>
      <c r="M16" s="137"/>
      <c r="N16" s="137"/>
      <c r="Q16" s="59" t="s">
        <v>236</v>
      </c>
      <c r="R16" s="137"/>
      <c r="S16" s="137"/>
      <c r="T16" s="137"/>
      <c r="AA16" s="99"/>
      <c r="AB16" s="99" t="s">
        <v>184</v>
      </c>
      <c r="AC16" s="108">
        <f>AC10+AC5</f>
        <v>0.2</v>
      </c>
      <c r="AD16" s="99" t="s">
        <v>168</v>
      </c>
      <c r="AE16" s="99"/>
      <c r="AF16" s="99"/>
      <c r="AG16" s="99"/>
      <c r="AH16" s="99" t="s">
        <v>185</v>
      </c>
      <c r="AI16" s="105" t="e">
        <f>AC15*AC4</f>
        <v>#DIV/0!</v>
      </c>
      <c r="AJ16" s="99" t="s">
        <v>134</v>
      </c>
    </row>
    <row r="17" spans="1:40" x14ac:dyDescent="0.2">
      <c r="A17" s="26">
        <v>14</v>
      </c>
      <c r="E17" s="51"/>
      <c r="F17" s="2">
        <f>IF($D$6&lt;1,0,IF($G$16&lt;=0,1,0))</f>
        <v>0</v>
      </c>
      <c r="G17" s="345"/>
      <c r="H17" s="320"/>
      <c r="K17" s="59"/>
      <c r="L17" s="137"/>
      <c r="M17" s="137"/>
      <c r="N17" s="137"/>
      <c r="Q17" s="59" t="s">
        <v>98</v>
      </c>
      <c r="R17" s="137"/>
      <c r="S17" s="137"/>
      <c r="T17" s="137"/>
      <c r="AA17" s="99"/>
      <c r="AB17" s="99" t="s">
        <v>186</v>
      </c>
      <c r="AC17" s="108">
        <f>AC4+AC13</f>
        <v>4.8000000000000015E-2</v>
      </c>
      <c r="AD17" s="99" t="s">
        <v>82</v>
      </c>
      <c r="AE17" s="99"/>
      <c r="AF17" s="99"/>
      <c r="AG17" s="99"/>
      <c r="AH17" s="99"/>
      <c r="AI17" s="99"/>
      <c r="AJ17" s="99"/>
    </row>
    <row r="18" spans="1:40" x14ac:dyDescent="0.2">
      <c r="A18" s="26">
        <v>15</v>
      </c>
      <c r="D18" s="314" t="s">
        <v>208</v>
      </c>
      <c r="E18" s="314"/>
      <c r="F18" s="314"/>
      <c r="G18" s="314"/>
      <c r="AA18" s="99"/>
      <c r="AB18" s="99" t="s">
        <v>187</v>
      </c>
      <c r="AC18" s="99">
        <f>AC16*AC3</f>
        <v>0</v>
      </c>
      <c r="AD18" s="99" t="s">
        <v>134</v>
      </c>
      <c r="AE18" s="99"/>
      <c r="AF18" s="99"/>
      <c r="AG18" s="99"/>
      <c r="AH18" s="99"/>
      <c r="AI18" s="99"/>
      <c r="AJ18" s="99"/>
    </row>
    <row r="19" spans="1:40" x14ac:dyDescent="0.2">
      <c r="A19" s="26">
        <v>16</v>
      </c>
      <c r="D19" s="314" t="s">
        <v>202</v>
      </c>
      <c r="E19" s="314"/>
      <c r="F19" s="314"/>
      <c r="G19" s="314"/>
      <c r="K19" s="86" t="e">
        <f>AA30*L10</f>
        <v>#DIV/0!</v>
      </c>
      <c r="M19" s="13" t="s">
        <v>263</v>
      </c>
      <c r="AA19" s="99"/>
      <c r="AB19" s="99" t="s">
        <v>188</v>
      </c>
      <c r="AC19" s="108">
        <f>AC18/AC17</f>
        <v>0</v>
      </c>
      <c r="AD19" s="99" t="s">
        <v>168</v>
      </c>
      <c r="AE19" s="99"/>
      <c r="AF19" s="99"/>
      <c r="AG19" s="99"/>
      <c r="AH19" s="99"/>
      <c r="AI19" s="105"/>
      <c r="AJ19" s="99"/>
    </row>
    <row r="20" spans="1:40" x14ac:dyDescent="0.2">
      <c r="A20" s="26">
        <v>17</v>
      </c>
      <c r="E20" s="13"/>
      <c r="AA20" s="103" t="e">
        <f>IF(AI20&gt;AC20,1,0)</f>
        <v>#DIV/0!</v>
      </c>
      <c r="AB20" s="99" t="s">
        <v>189</v>
      </c>
      <c r="AC20" s="109">
        <f>AC9/6</f>
        <v>1.6666666666666666E-2</v>
      </c>
      <c r="AD20" s="99" t="s">
        <v>168</v>
      </c>
      <c r="AE20" s="340" t="s">
        <v>190</v>
      </c>
      <c r="AF20" s="340"/>
      <c r="AG20" s="340"/>
      <c r="AH20" s="99" t="s">
        <v>191</v>
      </c>
      <c r="AI20" s="110" t="e">
        <f>AI16/AC17</f>
        <v>#DIV/0!</v>
      </c>
      <c r="AJ20" s="99" t="s">
        <v>168</v>
      </c>
    </row>
    <row r="21" spans="1:40" ht="13.5" thickBot="1" x14ac:dyDescent="0.25">
      <c r="A21" s="26">
        <v>18</v>
      </c>
      <c r="E21" s="13"/>
      <c r="AA21" s="103" t="e">
        <f>IF(AI21&gt;AC21,1,0)</f>
        <v>#DIV/0!</v>
      </c>
      <c r="AB21" s="99" t="s">
        <v>192</v>
      </c>
      <c r="AC21" s="109">
        <f>AC9/3</f>
        <v>3.3333333333333333E-2</v>
      </c>
      <c r="AD21" s="99" t="s">
        <v>168</v>
      </c>
      <c r="AE21" s="340" t="s">
        <v>193</v>
      </c>
      <c r="AF21" s="340"/>
      <c r="AG21" s="340"/>
      <c r="AH21" s="99" t="s">
        <v>194</v>
      </c>
      <c r="AI21" s="110" t="e">
        <f>AC19+AI20</f>
        <v>#DIV/0!</v>
      </c>
      <c r="AJ21" s="99" t="s">
        <v>168</v>
      </c>
    </row>
    <row r="22" spans="1:40" ht="14.25" thickTop="1" thickBot="1" x14ac:dyDescent="0.25">
      <c r="A22" s="26">
        <v>19</v>
      </c>
      <c r="F22" s="299" t="s">
        <v>86</v>
      </c>
      <c r="G22" s="300"/>
      <c r="AA22" s="99"/>
      <c r="AB22" s="99" t="s">
        <v>195</v>
      </c>
      <c r="AC22" s="111" t="e">
        <f>AC9/2-AI21</f>
        <v>#DIV/0!</v>
      </c>
      <c r="AD22" s="99"/>
      <c r="AE22" s="99"/>
      <c r="AF22" s="99"/>
      <c r="AG22" s="99"/>
      <c r="AH22" s="99"/>
      <c r="AI22" s="99"/>
      <c r="AJ22" s="99"/>
    </row>
    <row r="23" spans="1:40" ht="13.5" thickTop="1" x14ac:dyDescent="0.2">
      <c r="A23" s="26">
        <v>20</v>
      </c>
      <c r="D23" s="3" t="str">
        <f>IF(D24&gt;1,"maximal 1 Teil","")</f>
        <v/>
      </c>
      <c r="AA23" s="103" t="e">
        <f>IF(AC23&gt;AI23,1,0)</f>
        <v>#DIV/0!</v>
      </c>
      <c r="AB23" s="99" t="s">
        <v>196</v>
      </c>
      <c r="AC23" s="112" t="e">
        <f>2*AC17/(3*AC22*AC8)</f>
        <v>#DIV/0!</v>
      </c>
      <c r="AD23" s="99" t="s">
        <v>80</v>
      </c>
      <c r="AE23" s="99"/>
      <c r="AF23" s="99"/>
      <c r="AG23" s="99"/>
      <c r="AH23" s="99" t="s">
        <v>197</v>
      </c>
      <c r="AI23" s="113">
        <v>70</v>
      </c>
      <c r="AJ23" s="99" t="s">
        <v>80</v>
      </c>
    </row>
    <row r="24" spans="1:40" ht="15.75" x14ac:dyDescent="0.3">
      <c r="A24" s="26">
        <v>21</v>
      </c>
      <c r="B24" s="302"/>
      <c r="C24" s="302"/>
      <c r="D24" s="26">
        <f>IF(B4=2,1,0)</f>
        <v>0</v>
      </c>
      <c r="E24" s="51"/>
      <c r="F24" s="37" t="s">
        <v>164</v>
      </c>
      <c r="G24" s="3">
        <f>'Grabstein+Sockel'!H38</f>
        <v>0</v>
      </c>
      <c r="H24" s="13" t="s">
        <v>124</v>
      </c>
      <c r="AA24" s="340" t="s">
        <v>198</v>
      </c>
      <c r="AB24" s="340"/>
      <c r="AC24" s="99"/>
      <c r="AD24" s="99"/>
    </row>
    <row r="25" spans="1:40" ht="15.75" x14ac:dyDescent="0.3">
      <c r="A25" s="26">
        <v>22</v>
      </c>
      <c r="B25" s="24"/>
      <c r="E25" s="51"/>
      <c r="F25" s="1" t="s">
        <v>31</v>
      </c>
      <c r="G25" s="8">
        <f>'Grabstein+Sockel'!C35</f>
        <v>0</v>
      </c>
      <c r="H25" s="7" t="s">
        <v>12</v>
      </c>
      <c r="AA25" s="99"/>
      <c r="AB25" s="114" t="s">
        <v>199</v>
      </c>
      <c r="AC25" s="99" t="e">
        <f>AI16*0.9</f>
        <v>#DIV/0!</v>
      </c>
      <c r="AD25" s="114" t="s">
        <v>134</v>
      </c>
    </row>
    <row r="26" spans="1:40" x14ac:dyDescent="0.2">
      <c r="A26" s="26">
        <v>23</v>
      </c>
      <c r="E26" s="51"/>
      <c r="K26" s="47">
        <f>(K27+L27+K28+K30)*L26</f>
        <v>0</v>
      </c>
      <c r="L26" s="49">
        <f>D24*L4</f>
        <v>0</v>
      </c>
      <c r="AA26" s="99"/>
      <c r="AB26" s="114" t="s">
        <v>200</v>
      </c>
      <c r="AC26" s="99">
        <f>AC18*1.5</f>
        <v>0</v>
      </c>
      <c r="AD26" s="114" t="s">
        <v>134</v>
      </c>
    </row>
    <row r="27" spans="1:40" x14ac:dyDescent="0.2">
      <c r="A27" s="26">
        <v>24</v>
      </c>
      <c r="E27" s="26">
        <f>IF($D$24&lt;1,0,IF($G$27&lt;=0,1,0))</f>
        <v>0</v>
      </c>
      <c r="F27" s="37" t="s">
        <v>207</v>
      </c>
      <c r="G27" s="21">
        <v>15</v>
      </c>
      <c r="H27" t="s">
        <v>0</v>
      </c>
      <c r="K27" s="47">
        <f>IF(G27&lt;15,1,0)</f>
        <v>0</v>
      </c>
      <c r="L27" s="47">
        <v>0</v>
      </c>
      <c r="M27" s="36"/>
      <c r="N27" s="47">
        <f>G27*L26</f>
        <v>0</v>
      </c>
      <c r="O27" s="36"/>
      <c r="P27" s="41" t="s">
        <v>102</v>
      </c>
      <c r="Q27" s="13" t="s">
        <v>103</v>
      </c>
      <c r="AA27" s="99"/>
      <c r="AB27" s="114"/>
      <c r="AC27" s="109" t="e">
        <f>AC25+AC26</f>
        <v>#DIV/0!</v>
      </c>
      <c r="AD27" s="114" t="s">
        <v>134</v>
      </c>
      <c r="AL27" s="136" t="s">
        <v>210</v>
      </c>
    </row>
    <row r="28" spans="1:40" ht="13.5" x14ac:dyDescent="0.25">
      <c r="A28" s="26">
        <v>25</v>
      </c>
      <c r="E28" s="26">
        <f>IF($D$24&lt;1,0,IF($G$28&lt;=0,1,0))</f>
        <v>0</v>
      </c>
      <c r="F28" s="1" t="s">
        <v>58</v>
      </c>
      <c r="G28" s="21">
        <v>200</v>
      </c>
      <c r="H28" t="s">
        <v>0</v>
      </c>
      <c r="K28" s="47">
        <f>IF(N28&lt;P28,1,0)</f>
        <v>1</v>
      </c>
      <c r="L28" s="47">
        <f>IF(N28&gt;Q28,1,0)</f>
        <v>0</v>
      </c>
      <c r="M28" s="116"/>
      <c r="N28" s="47">
        <f>G28*L26</f>
        <v>0</v>
      </c>
      <c r="O28" s="36"/>
      <c r="P28" s="44">
        <v>150</v>
      </c>
      <c r="Q28" s="65">
        <v>280</v>
      </c>
      <c r="AA28" s="103" t="e">
        <f>IF(AE28&gt;1,1,0)</f>
        <v>#DIV/0!</v>
      </c>
      <c r="AB28" s="114" t="s">
        <v>201</v>
      </c>
      <c r="AC28" s="109">
        <f>AC17*0.9*AC9/2</f>
        <v>2.1600000000000009E-3</v>
      </c>
      <c r="AD28" s="114" t="s">
        <v>134</v>
      </c>
      <c r="AE28" s="115" t="e">
        <f>AC27/AC28</f>
        <v>#DIV/0!</v>
      </c>
      <c r="AL28" s="135" t="s">
        <v>229</v>
      </c>
      <c r="AN28" s="93">
        <f>E31</f>
        <v>0</v>
      </c>
    </row>
    <row r="29" spans="1:40" x14ac:dyDescent="0.2">
      <c r="A29" s="26">
        <v>26</v>
      </c>
      <c r="E29" s="26">
        <f>IF($D$24&lt;1,0,IF($G$29&lt;=0,1,0))</f>
        <v>0</v>
      </c>
      <c r="F29" s="1" t="s">
        <v>57</v>
      </c>
      <c r="G29" s="22">
        <v>12</v>
      </c>
      <c r="H29" t="s">
        <v>23</v>
      </c>
      <c r="M29" s="116"/>
      <c r="N29" s="47">
        <f>G29*L26</f>
        <v>0</v>
      </c>
      <c r="O29" s="36"/>
      <c r="AL29" s="135" t="s">
        <v>158</v>
      </c>
      <c r="AN29" s="93">
        <f>K26</f>
        <v>0</v>
      </c>
    </row>
    <row r="30" spans="1:40" ht="15" x14ac:dyDescent="0.25">
      <c r="A30" s="26">
        <v>27</v>
      </c>
      <c r="E30" s="26">
        <f>IF(G30="",1,0)</f>
        <v>0</v>
      </c>
      <c r="F30" s="1" t="s">
        <v>54</v>
      </c>
      <c r="G30" s="21">
        <v>15</v>
      </c>
      <c r="H30" t="s">
        <v>0</v>
      </c>
      <c r="K30" s="47">
        <f>IF(G30&lt;10,1,0)</f>
        <v>0</v>
      </c>
      <c r="N30" s="47">
        <f>G30*L26</f>
        <v>0</v>
      </c>
      <c r="AA30" s="103" t="e">
        <f>AA20+AA21+AA23+AA28</f>
        <v>#DIV/0!</v>
      </c>
      <c r="AB30" s="343" t="e">
        <f>IF(AA30&gt;0,"Fundament nicht zulässig","")</f>
        <v>#DIV/0!</v>
      </c>
      <c r="AC30" s="343"/>
      <c r="AD30" s="343"/>
      <c r="AE30" s="343"/>
      <c r="AF30" s="343"/>
      <c r="AG30" s="343"/>
      <c r="AL30" s="135" t="s">
        <v>235</v>
      </c>
      <c r="AN30" s="93">
        <f>E27+E28+E29+E30</f>
        <v>0</v>
      </c>
    </row>
    <row r="31" spans="1:40" x14ac:dyDescent="0.2">
      <c r="A31" s="26">
        <v>28</v>
      </c>
      <c r="E31" s="26">
        <f>IF($D$24&lt;1,0,IF($G$31&lt;=0,1,0))</f>
        <v>0</v>
      </c>
      <c r="F31" s="1" t="s">
        <v>56</v>
      </c>
      <c r="G31" s="341" t="s">
        <v>91</v>
      </c>
      <c r="H31" s="342"/>
      <c r="AA31" s="93" t="e">
        <f>AA30*L10</f>
        <v>#DIV/0!</v>
      </c>
      <c r="AL31" s="135" t="s">
        <v>234</v>
      </c>
      <c r="AN31" s="93">
        <f>AA47</f>
        <v>0</v>
      </c>
    </row>
    <row r="32" spans="1:40" x14ac:dyDescent="0.2">
      <c r="A32" s="26">
        <v>29</v>
      </c>
      <c r="E32" s="51"/>
      <c r="F32" s="13"/>
      <c r="G32" s="257"/>
      <c r="H32" s="258"/>
      <c r="AL32" s="133"/>
      <c r="AM32" s="132"/>
    </row>
    <row r="33" spans="1:27" x14ac:dyDescent="0.2">
      <c r="A33" s="26">
        <v>30</v>
      </c>
      <c r="E33" s="51"/>
      <c r="F33" s="13"/>
      <c r="G33" s="118"/>
      <c r="H33" s="119"/>
      <c r="K33" s="13" t="s">
        <v>205</v>
      </c>
      <c r="O33" s="13" t="s">
        <v>209</v>
      </c>
      <c r="S33" s="121"/>
      <c r="T33" s="122">
        <f>IF(G25&lt;100,100,G25)</f>
        <v>100</v>
      </c>
      <c r="U33" s="123">
        <f>N27</f>
        <v>0</v>
      </c>
      <c r="V33" s="123">
        <f>N29</f>
        <v>0</v>
      </c>
      <c r="W33" s="123">
        <f>N30</f>
        <v>0</v>
      </c>
      <c r="X33" s="123"/>
    </row>
    <row r="34" spans="1:27" x14ac:dyDescent="0.2">
      <c r="A34" s="26">
        <v>31</v>
      </c>
      <c r="E34" s="13"/>
      <c r="F34" s="2"/>
      <c r="K34" s="13" t="s">
        <v>91</v>
      </c>
      <c r="O34">
        <v>10</v>
      </c>
      <c r="S34" s="121"/>
      <c r="T34" s="122">
        <f>T33+30</f>
        <v>130</v>
      </c>
      <c r="U34" s="123">
        <f>INDEX(U39:V50,T35,1)</f>
        <v>14</v>
      </c>
      <c r="V34" s="123">
        <f>INDEX(U39:V50,T35,2)</f>
        <v>10</v>
      </c>
      <c r="W34" s="123"/>
      <c r="X34" s="123"/>
    </row>
    <row r="35" spans="1:27" x14ac:dyDescent="0.2">
      <c r="A35" s="26">
        <v>32</v>
      </c>
      <c r="E35" s="13"/>
      <c r="F35" s="2"/>
      <c r="K35" s="13" t="s">
        <v>206</v>
      </c>
      <c r="O35">
        <v>15</v>
      </c>
      <c r="S35" s="121"/>
      <c r="T35" s="123">
        <f>VLOOKUP(T34,S39:T49,2)</f>
        <v>1</v>
      </c>
      <c r="U35" s="123">
        <f>INDEX(W39:X50,T35,1)</f>
        <v>10</v>
      </c>
      <c r="V35" s="123">
        <f>INDEX(W39:X50,T35,2)</f>
        <v>8</v>
      </c>
      <c r="W35" s="123"/>
      <c r="X35" s="123"/>
    </row>
    <row r="36" spans="1:27" x14ac:dyDescent="0.2">
      <c r="A36" s="26">
        <v>33</v>
      </c>
      <c r="E36" s="51"/>
      <c r="F36" s="2"/>
      <c r="O36">
        <v>20</v>
      </c>
      <c r="S36" s="121"/>
      <c r="T36" s="123">
        <f>X33+X34+X35</f>
        <v>0</v>
      </c>
      <c r="U36" s="349">
        <v>15</v>
      </c>
      <c r="V36" s="349"/>
      <c r="W36" s="349">
        <v>20</v>
      </c>
      <c r="X36" s="349"/>
    </row>
    <row r="37" spans="1:27" x14ac:dyDescent="0.2">
      <c r="A37" s="26">
        <v>34</v>
      </c>
      <c r="E37" s="51"/>
      <c r="F37" s="2"/>
      <c r="M37" s="125"/>
      <c r="N37" s="125"/>
      <c r="S37" s="121"/>
      <c r="T37" s="123">
        <v>1</v>
      </c>
      <c r="U37" s="124">
        <v>2</v>
      </c>
      <c r="V37" s="124">
        <v>3</v>
      </c>
      <c r="W37" s="124">
        <v>4</v>
      </c>
      <c r="X37" s="124">
        <v>5</v>
      </c>
    </row>
    <row r="38" spans="1:27" x14ac:dyDescent="0.2">
      <c r="A38" s="26">
        <v>35</v>
      </c>
      <c r="E38" s="51"/>
      <c r="F38" s="2"/>
      <c r="K38" s="125">
        <f>IF(U33=15,U34,U35)</f>
        <v>10</v>
      </c>
      <c r="L38" s="125">
        <f>IF(U33=15,V34,V35)</f>
        <v>8</v>
      </c>
      <c r="M38" s="125"/>
      <c r="N38" s="125"/>
      <c r="S38" s="121"/>
      <c r="T38" s="123"/>
      <c r="U38" s="124">
        <v>10</v>
      </c>
      <c r="V38" s="124">
        <v>15</v>
      </c>
      <c r="W38" s="124">
        <v>10</v>
      </c>
      <c r="X38" s="124">
        <v>15</v>
      </c>
    </row>
    <row r="39" spans="1:27" x14ac:dyDescent="0.2">
      <c r="A39" s="26">
        <v>36</v>
      </c>
      <c r="E39" s="51"/>
      <c r="F39" s="2"/>
      <c r="K39" s="125">
        <f>IF(N30=10,K38,L38)</f>
        <v>8</v>
      </c>
      <c r="L39" s="125">
        <f>N29-K39</f>
        <v>-8</v>
      </c>
      <c r="S39" s="123">
        <v>100</v>
      </c>
      <c r="T39" s="123">
        <v>1</v>
      </c>
      <c r="U39" s="124">
        <v>14</v>
      </c>
      <c r="V39" s="124">
        <v>10</v>
      </c>
      <c r="W39" s="124">
        <v>10</v>
      </c>
      <c r="X39" s="124">
        <v>8</v>
      </c>
    </row>
    <row r="40" spans="1:27" x14ac:dyDescent="0.2">
      <c r="A40" s="26">
        <v>37</v>
      </c>
      <c r="E40" s="51"/>
      <c r="F40" s="51"/>
      <c r="G40" s="51"/>
      <c r="H40" s="51"/>
      <c r="S40" s="123">
        <v>200</v>
      </c>
      <c r="T40" s="123">
        <v>3</v>
      </c>
      <c r="U40" s="124">
        <v>14</v>
      </c>
      <c r="V40" s="124">
        <v>10</v>
      </c>
      <c r="W40" s="124">
        <v>10</v>
      </c>
      <c r="X40" s="124">
        <v>8</v>
      </c>
    </row>
    <row r="41" spans="1:27" x14ac:dyDescent="0.2">
      <c r="A41" s="26">
        <v>38</v>
      </c>
      <c r="E41" s="51"/>
      <c r="F41" s="51"/>
      <c r="G41" s="51"/>
      <c r="H41" s="51"/>
      <c r="S41" s="123">
        <v>250</v>
      </c>
      <c r="T41" s="123">
        <v>4</v>
      </c>
      <c r="U41" s="124">
        <v>16</v>
      </c>
      <c r="V41" s="124">
        <v>10</v>
      </c>
      <c r="W41" s="124">
        <v>12</v>
      </c>
      <c r="X41" s="124">
        <v>8</v>
      </c>
    </row>
    <row r="42" spans="1:27" x14ac:dyDescent="0.2">
      <c r="A42" s="26">
        <v>39</v>
      </c>
      <c r="E42" s="51"/>
      <c r="F42" s="51"/>
      <c r="G42" s="51"/>
      <c r="H42" s="51"/>
      <c r="S42" s="123">
        <v>300</v>
      </c>
      <c r="T42" s="123">
        <v>5</v>
      </c>
      <c r="U42" s="124">
        <v>16</v>
      </c>
      <c r="V42" s="124">
        <v>10</v>
      </c>
      <c r="W42" s="124">
        <v>12</v>
      </c>
      <c r="X42" s="124">
        <v>8</v>
      </c>
    </row>
    <row r="43" spans="1:27" x14ac:dyDescent="0.2">
      <c r="A43" s="26">
        <v>40</v>
      </c>
      <c r="E43" s="51"/>
      <c r="F43" s="51"/>
      <c r="G43" s="51"/>
      <c r="H43" s="51"/>
      <c r="S43" s="123">
        <v>350</v>
      </c>
      <c r="T43" s="123">
        <v>6</v>
      </c>
      <c r="U43" s="124">
        <v>16</v>
      </c>
      <c r="V43" s="124">
        <v>10</v>
      </c>
      <c r="W43" s="124">
        <v>12</v>
      </c>
      <c r="X43" s="124">
        <v>8</v>
      </c>
    </row>
    <row r="44" spans="1:27" x14ac:dyDescent="0.2">
      <c r="A44" s="26">
        <v>6</v>
      </c>
      <c r="E44" s="51"/>
      <c r="F44" s="51"/>
      <c r="G44" s="51"/>
      <c r="H44" s="51"/>
      <c r="S44" s="123">
        <v>400</v>
      </c>
      <c r="T44" s="123">
        <v>7</v>
      </c>
      <c r="U44" s="124">
        <v>16</v>
      </c>
      <c r="V44" s="124">
        <v>10</v>
      </c>
      <c r="W44" s="124">
        <v>12</v>
      </c>
      <c r="X44" s="124">
        <v>8</v>
      </c>
    </row>
    <row r="45" spans="1:27" x14ac:dyDescent="0.2">
      <c r="A45" s="26">
        <v>8</v>
      </c>
      <c r="B45" s="51"/>
      <c r="C45" s="51"/>
      <c r="D45" s="51"/>
      <c r="E45" s="51"/>
      <c r="F45" s="51"/>
      <c r="G45" s="51"/>
      <c r="H45" s="51"/>
      <c r="S45" s="123">
        <v>450</v>
      </c>
      <c r="T45" s="123">
        <v>8</v>
      </c>
      <c r="U45" s="124">
        <v>16</v>
      </c>
      <c r="V45" s="124">
        <v>12</v>
      </c>
      <c r="W45" s="124">
        <v>12</v>
      </c>
      <c r="X45" s="124">
        <v>8</v>
      </c>
    </row>
    <row r="46" spans="1:27" x14ac:dyDescent="0.2">
      <c r="A46" s="26">
        <v>10</v>
      </c>
      <c r="B46" s="51"/>
      <c r="C46" s="51"/>
      <c r="D46" s="51"/>
      <c r="E46" s="51"/>
      <c r="F46" s="26" t="s">
        <v>98</v>
      </c>
      <c r="G46" s="51"/>
      <c r="H46" s="51"/>
      <c r="S46" s="123">
        <v>500</v>
      </c>
      <c r="T46" s="123">
        <v>9</v>
      </c>
      <c r="U46" s="124">
        <v>16</v>
      </c>
      <c r="V46" s="124">
        <v>12</v>
      </c>
      <c r="W46" s="124">
        <v>12</v>
      </c>
      <c r="X46" s="124">
        <v>8</v>
      </c>
    </row>
    <row r="47" spans="1:27" x14ac:dyDescent="0.2">
      <c r="A47" s="26">
        <v>12</v>
      </c>
      <c r="B47" s="51"/>
      <c r="C47" s="51"/>
      <c r="D47" s="117"/>
      <c r="E47" s="314" t="s">
        <v>203</v>
      </c>
      <c r="F47" s="314"/>
      <c r="G47" s="314"/>
      <c r="H47" s="51"/>
      <c r="K47">
        <f>L39*L26</f>
        <v>0</v>
      </c>
      <c r="S47" s="123">
        <v>550</v>
      </c>
      <c r="T47" s="123">
        <v>10</v>
      </c>
      <c r="U47" s="124">
        <v>16</v>
      </c>
      <c r="V47" s="124">
        <v>12</v>
      </c>
      <c r="W47" s="124">
        <v>12</v>
      </c>
      <c r="X47" s="124">
        <v>8</v>
      </c>
      <c r="AA47" s="93">
        <f>IF(K47&lt;0,1,0)</f>
        <v>0</v>
      </c>
    </row>
    <row r="48" spans="1:27" x14ac:dyDescent="0.2">
      <c r="A48" s="26">
        <v>14</v>
      </c>
      <c r="B48" s="51"/>
      <c r="C48" s="51"/>
      <c r="D48" s="117"/>
      <c r="E48" s="314" t="s">
        <v>204</v>
      </c>
      <c r="F48" s="314"/>
      <c r="G48" s="314"/>
      <c r="H48" s="51"/>
      <c r="S48" s="123">
        <v>600</v>
      </c>
      <c r="T48" s="123">
        <v>11</v>
      </c>
      <c r="U48" s="124">
        <v>16</v>
      </c>
      <c r="V48" s="124">
        <v>12</v>
      </c>
      <c r="W48" s="124">
        <v>12</v>
      </c>
      <c r="X48" s="124">
        <v>8</v>
      </c>
    </row>
    <row r="49" spans="1:37" x14ac:dyDescent="0.2">
      <c r="A49" s="26">
        <v>16</v>
      </c>
      <c r="B49" s="51"/>
      <c r="C49" s="51"/>
      <c r="D49" s="51"/>
      <c r="E49" s="51"/>
      <c r="F49" s="183" t="str">
        <f>Lizenznehmer!D98</f>
        <v>11903072</v>
      </c>
      <c r="S49" s="123">
        <v>800</v>
      </c>
      <c r="T49" s="123">
        <v>12</v>
      </c>
      <c r="U49" s="124">
        <v>16</v>
      </c>
      <c r="V49" s="124">
        <v>12</v>
      </c>
      <c r="W49" s="124">
        <v>12</v>
      </c>
      <c r="X49" s="124">
        <v>8</v>
      </c>
    </row>
    <row r="50" spans="1:37" x14ac:dyDescent="0.2">
      <c r="A50" s="26">
        <v>20</v>
      </c>
      <c r="E50" s="51"/>
      <c r="S50" s="123">
        <v>900</v>
      </c>
      <c r="T50" s="123">
        <v>12</v>
      </c>
      <c r="U50" s="278">
        <v>16</v>
      </c>
      <c r="V50" s="278">
        <v>12</v>
      </c>
      <c r="W50" s="278">
        <v>12</v>
      </c>
      <c r="X50" s="278">
        <v>8</v>
      </c>
    </row>
    <row r="51" spans="1:37" x14ac:dyDescent="0.2">
      <c r="A51" s="26">
        <v>25</v>
      </c>
      <c r="D51" s="9" t="s">
        <v>27</v>
      </c>
      <c r="E51" s="10">
        <f>C52</f>
        <v>0</v>
      </c>
      <c r="F51" s="11" t="s">
        <v>28</v>
      </c>
      <c r="G51" s="12"/>
    </row>
    <row r="52" spans="1:37" x14ac:dyDescent="0.2">
      <c r="A52" s="81">
        <v>28</v>
      </c>
      <c r="C52" s="26">
        <f>E11+E12+E13+E16+E27+E28+E30+E31+E34</f>
        <v>0</v>
      </c>
      <c r="F52" s="32">
        <f>Lizenznehmer!H98</f>
        <v>43541</v>
      </c>
      <c r="G52" s="334" t="s">
        <v>59</v>
      </c>
      <c r="H52" s="334"/>
    </row>
    <row r="53" spans="1:37" x14ac:dyDescent="0.2">
      <c r="A53" s="37"/>
    </row>
    <row r="54" spans="1:37" x14ac:dyDescent="0.2">
      <c r="B54" s="317" t="str">
        <f>B1</f>
        <v>Friedhofsverwaltung</v>
      </c>
      <c r="C54" s="317"/>
      <c r="D54" s="317"/>
      <c r="E54" s="317"/>
      <c r="F54" s="329" t="str">
        <f>F1</f>
        <v>Tel.: 06074 911360</v>
      </c>
      <c r="G54" s="329"/>
      <c r="H54" s="178" t="s">
        <v>305</v>
      </c>
    </row>
    <row r="55" spans="1:37" ht="13.5" thickBot="1" x14ac:dyDescent="0.25">
      <c r="B55" s="292" t="str">
        <f>B2</f>
        <v>63322 Rödermark, Dieburger Straße 13-17</v>
      </c>
      <c r="C55" s="292"/>
      <c r="D55" s="292"/>
      <c r="E55" s="292"/>
      <c r="F55" s="330" t="str">
        <f>F2</f>
        <v>Fax: 06074 91 11 360</v>
      </c>
      <c r="G55" s="330"/>
      <c r="H55" s="179">
        <v>5</v>
      </c>
    </row>
    <row r="56" spans="1:37" ht="13.5" thickTop="1" x14ac:dyDescent="0.2">
      <c r="G56" s="26"/>
      <c r="H56" s="2">
        <v>0</v>
      </c>
    </row>
    <row r="57" spans="1:37" ht="15.75" x14ac:dyDescent="0.25">
      <c r="D57" s="326" t="str">
        <f>D4</f>
        <v>Keine Gründung</v>
      </c>
      <c r="E57" s="326"/>
      <c r="F57" s="326"/>
      <c r="G57" s="326"/>
      <c r="AI57" t="s">
        <v>238</v>
      </c>
      <c r="AJ57" s="144">
        <f>N64</f>
        <v>0</v>
      </c>
      <c r="AK57" t="s">
        <v>0</v>
      </c>
    </row>
    <row r="58" spans="1:37" ht="13.5" thickBot="1" x14ac:dyDescent="0.25">
      <c r="K58" s="86">
        <f>D60*L4</f>
        <v>0</v>
      </c>
      <c r="AI58" t="s">
        <v>239</v>
      </c>
      <c r="AJ58" s="144">
        <f>N65</f>
        <v>0</v>
      </c>
      <c r="AK58" t="s">
        <v>0</v>
      </c>
    </row>
    <row r="59" spans="1:37" ht="13.5" thickBot="1" x14ac:dyDescent="0.25">
      <c r="E59" s="331" t="s">
        <v>264</v>
      </c>
      <c r="F59" s="332"/>
      <c r="G59" s="333"/>
      <c r="AI59" t="s">
        <v>240</v>
      </c>
      <c r="AJ59" s="144">
        <f>N66</f>
        <v>0</v>
      </c>
      <c r="AK59" t="s">
        <v>0</v>
      </c>
    </row>
    <row r="60" spans="1:37" x14ac:dyDescent="0.2">
      <c r="D60" s="26">
        <f>IF(B4=3,1,0)</f>
        <v>0</v>
      </c>
      <c r="F60" s="154"/>
      <c r="G60" s="154"/>
      <c r="AI60" t="s">
        <v>241</v>
      </c>
      <c r="AJ60" s="144">
        <f>N69</f>
        <v>0</v>
      </c>
      <c r="AK60" t="s">
        <v>0</v>
      </c>
    </row>
    <row r="61" spans="1:37" ht="15.75" x14ac:dyDescent="0.3">
      <c r="E61" s="51"/>
      <c r="F61" s="37" t="s">
        <v>164</v>
      </c>
      <c r="G61" s="158">
        <f>'Grabstein+Sockel'!H38</f>
        <v>0</v>
      </c>
      <c r="H61" s="41" t="s">
        <v>124</v>
      </c>
      <c r="N61" s="155">
        <f>G61*L62</f>
        <v>0</v>
      </c>
      <c r="O61" s="13" t="s">
        <v>124</v>
      </c>
      <c r="AI61" t="s">
        <v>242</v>
      </c>
      <c r="AJ61" s="144">
        <f>N70</f>
        <v>0</v>
      </c>
      <c r="AK61" t="s">
        <v>0</v>
      </c>
    </row>
    <row r="62" spans="1:37" ht="15.75" x14ac:dyDescent="0.3">
      <c r="E62" s="51"/>
      <c r="F62" s="1" t="s">
        <v>31</v>
      </c>
      <c r="G62" s="8">
        <f>'Grabstein+Sockel'!C25</f>
        <v>0</v>
      </c>
      <c r="H62" s="7" t="s">
        <v>12</v>
      </c>
      <c r="K62" s="47">
        <f>(K64+L64+K65+L65+K66+L66+K67+L67+K68+K69+L69+K70+L70+K71+L71)*L62</f>
        <v>0</v>
      </c>
      <c r="L62" s="49">
        <f>D60*L4</f>
        <v>0</v>
      </c>
      <c r="M62" s="36"/>
      <c r="N62" s="156">
        <f>G62*L62</f>
        <v>0</v>
      </c>
      <c r="O62" s="41" t="s">
        <v>275</v>
      </c>
      <c r="P62" s="41" t="s">
        <v>102</v>
      </c>
      <c r="Q62" s="13" t="s">
        <v>103</v>
      </c>
      <c r="AI62" t="s">
        <v>243</v>
      </c>
      <c r="AJ62" s="144">
        <f>N71</f>
        <v>0</v>
      </c>
      <c r="AK62" t="s">
        <v>0</v>
      </c>
    </row>
    <row r="63" spans="1:37" ht="15.75" x14ac:dyDescent="0.3">
      <c r="E63" s="26">
        <f>IF(G63="",1,0)</f>
        <v>0</v>
      </c>
      <c r="F63" s="37" t="s">
        <v>269</v>
      </c>
      <c r="G63" s="165">
        <v>50</v>
      </c>
      <c r="H63" s="7" t="s">
        <v>12</v>
      </c>
      <c r="K63" s="47">
        <f>IF(N63&lt;P63,1,0)</f>
        <v>0</v>
      </c>
      <c r="M63" s="36"/>
      <c r="N63" s="47">
        <f>G63*L62</f>
        <v>0</v>
      </c>
      <c r="O63" s="36"/>
      <c r="P63" s="44">
        <v>0</v>
      </c>
      <c r="Q63" s="13"/>
      <c r="AI63" t="s">
        <v>244</v>
      </c>
      <c r="AJ63">
        <f>AJ57-AJ58-AJ59</f>
        <v>0</v>
      </c>
      <c r="AK63" t="s">
        <v>0</v>
      </c>
    </row>
    <row r="64" spans="1:37" x14ac:dyDescent="0.2">
      <c r="E64" s="26">
        <f>IF(G64="",1,0)</f>
        <v>0</v>
      </c>
      <c r="F64" s="1" t="s">
        <v>238</v>
      </c>
      <c r="G64" s="82">
        <v>102</v>
      </c>
      <c r="H64" t="s">
        <v>0</v>
      </c>
      <c r="K64" s="47">
        <f t="shared" ref="K64:K71" si="0">IF(N64&lt;P64,1,0)</f>
        <v>1</v>
      </c>
      <c r="L64" s="47">
        <f>IF(N64&gt;Q64,1,0)</f>
        <v>0</v>
      </c>
      <c r="M64" s="142"/>
      <c r="N64" s="47">
        <f>G64*L62</f>
        <v>0</v>
      </c>
      <c r="O64" s="36"/>
      <c r="P64" s="44">
        <v>60</v>
      </c>
      <c r="Q64" s="65">
        <v>250</v>
      </c>
      <c r="AI64" t="s">
        <v>245</v>
      </c>
      <c r="AJ64" s="145">
        <f>N73</f>
        <v>0</v>
      </c>
    </row>
    <row r="65" spans="5:38" x14ac:dyDescent="0.2">
      <c r="E65" s="26">
        <f>IF(G65="",1,0)</f>
        <v>0</v>
      </c>
      <c r="F65" s="1" t="s">
        <v>239</v>
      </c>
      <c r="G65" s="82">
        <v>15</v>
      </c>
      <c r="H65" t="s">
        <v>0</v>
      </c>
      <c r="K65" s="47">
        <f t="shared" si="0"/>
        <v>1</v>
      </c>
      <c r="L65" s="47">
        <f>IF(N65&gt;Q65,1,0)</f>
        <v>0</v>
      </c>
      <c r="M65" s="142"/>
      <c r="N65" s="47">
        <f>G65*L62</f>
        <v>0</v>
      </c>
      <c r="O65" s="36"/>
      <c r="P65" s="44">
        <v>15</v>
      </c>
      <c r="Q65" s="65">
        <v>40</v>
      </c>
      <c r="AI65" t="s">
        <v>273</v>
      </c>
      <c r="AJ65" s="145">
        <v>24</v>
      </c>
      <c r="AK65" t="s">
        <v>81</v>
      </c>
    </row>
    <row r="66" spans="5:38" x14ac:dyDescent="0.2">
      <c r="E66" s="26">
        <f>IF(G66="",1,0)</f>
        <v>0</v>
      </c>
      <c r="F66" s="1" t="s">
        <v>240</v>
      </c>
      <c r="G66" s="82">
        <v>10</v>
      </c>
      <c r="H66" t="s">
        <v>0</v>
      </c>
      <c r="K66" s="47">
        <f t="shared" si="0"/>
        <v>1</v>
      </c>
      <c r="L66" s="47">
        <f>IF(N66&gt;Q66,1,0)</f>
        <v>0</v>
      </c>
      <c r="M66" s="142"/>
      <c r="N66" s="47">
        <f>G66*L62</f>
        <v>0</v>
      </c>
      <c r="O66" s="36"/>
      <c r="P66" s="44">
        <v>8</v>
      </c>
      <c r="Q66" s="65">
        <v>20</v>
      </c>
    </row>
    <row r="67" spans="5:38" x14ac:dyDescent="0.2">
      <c r="E67" s="26"/>
      <c r="F67" s="37" t="s">
        <v>304</v>
      </c>
      <c r="G67" s="180">
        <f>'Grabstein+Sockel'!AK28</f>
        <v>0</v>
      </c>
      <c r="H67" t="s">
        <v>0</v>
      </c>
      <c r="K67" s="47">
        <f t="shared" si="0"/>
        <v>1</v>
      </c>
      <c r="L67" s="47">
        <f>IF(N67&gt;Q67,1,0)</f>
        <v>0</v>
      </c>
      <c r="M67" s="142"/>
      <c r="N67" s="181">
        <f>G67*L62</f>
        <v>0</v>
      </c>
      <c r="O67" s="36"/>
      <c r="P67" s="44">
        <v>8</v>
      </c>
      <c r="Q67" s="65">
        <v>34</v>
      </c>
    </row>
    <row r="68" spans="5:38" x14ac:dyDescent="0.2">
      <c r="E68" s="26"/>
      <c r="F68" s="37" t="s">
        <v>270</v>
      </c>
      <c r="G68" s="152">
        <f>G65-G67</f>
        <v>15</v>
      </c>
      <c r="H68" t="s">
        <v>0</v>
      </c>
      <c r="K68" s="47">
        <f t="shared" si="0"/>
        <v>0</v>
      </c>
      <c r="M68" s="142"/>
      <c r="N68" s="155">
        <f>G68*L62</f>
        <v>0</v>
      </c>
      <c r="O68" s="36"/>
    </row>
    <row r="69" spans="5:38" x14ac:dyDescent="0.2">
      <c r="E69" s="26">
        <f>IF(G69="",1,0)</f>
        <v>0</v>
      </c>
      <c r="F69" s="1" t="s">
        <v>241</v>
      </c>
      <c r="G69" s="82">
        <v>102</v>
      </c>
      <c r="H69" t="s">
        <v>0</v>
      </c>
      <c r="K69" s="47">
        <f t="shared" si="0"/>
        <v>1</v>
      </c>
      <c r="L69" s="47">
        <f>IF(N69&gt;Q69,1,0)</f>
        <v>0</v>
      </c>
      <c r="M69" s="142"/>
      <c r="N69" s="47">
        <f>G69*L62</f>
        <v>0</v>
      </c>
      <c r="O69" s="36"/>
      <c r="P69" s="44">
        <v>60</v>
      </c>
      <c r="Q69" s="65">
        <v>150</v>
      </c>
      <c r="AB69" s="279" t="s">
        <v>246</v>
      </c>
      <c r="AC69" s="279"/>
      <c r="AD69" s="145">
        <f>AJ60*AJ58*AJ62</f>
        <v>0</v>
      </c>
      <c r="AE69" t="s">
        <v>247</v>
      </c>
      <c r="AF69" t="s">
        <v>248</v>
      </c>
      <c r="AG69" s="146">
        <f>AD69*$AJ$65/1000000</f>
        <v>0</v>
      </c>
      <c r="AH69" t="s">
        <v>82</v>
      </c>
      <c r="AI69" t="s">
        <v>249</v>
      </c>
      <c r="AJ69" s="145">
        <f>AJ78/2+AJ64</f>
        <v>0</v>
      </c>
      <c r="AK69" t="s">
        <v>0</v>
      </c>
    </row>
    <row r="70" spans="5:38" x14ac:dyDescent="0.2">
      <c r="E70" s="26">
        <f>IF(G70="",1,0)</f>
        <v>0</v>
      </c>
      <c r="F70" s="1" t="s">
        <v>242</v>
      </c>
      <c r="G70" s="82">
        <v>10</v>
      </c>
      <c r="H70" t="s">
        <v>0</v>
      </c>
      <c r="K70" s="47">
        <f t="shared" si="0"/>
        <v>1</v>
      </c>
      <c r="L70" s="47">
        <f>IF(N70&gt;Q70,1,0)</f>
        <v>0</v>
      </c>
      <c r="M70" s="142"/>
      <c r="N70" s="157">
        <f>G70*L62</f>
        <v>0</v>
      </c>
      <c r="O70" s="36"/>
      <c r="P70" s="44">
        <v>8</v>
      </c>
      <c r="Q70" s="65">
        <v>20</v>
      </c>
      <c r="AB70" s="279" t="s">
        <v>250</v>
      </c>
      <c r="AC70" s="279"/>
      <c r="AD70" s="145">
        <f>AJ60*AJ59*AJ62</f>
        <v>0</v>
      </c>
      <c r="AE70" t="s">
        <v>247</v>
      </c>
      <c r="AF70" t="s">
        <v>251</v>
      </c>
      <c r="AG70" s="146">
        <f>AD70*$AJ$65/1000000</f>
        <v>0</v>
      </c>
      <c r="AH70" t="s">
        <v>82</v>
      </c>
      <c r="AI70" t="s">
        <v>252</v>
      </c>
      <c r="AJ70" s="145">
        <f>AJ58+AJ63/2</f>
        <v>0</v>
      </c>
      <c r="AK70" t="s">
        <v>0</v>
      </c>
    </row>
    <row r="71" spans="5:38" x14ac:dyDescent="0.2">
      <c r="E71" s="26">
        <f>IF(G71="",1,0)</f>
        <v>0</v>
      </c>
      <c r="F71" s="1" t="s">
        <v>243</v>
      </c>
      <c r="G71" s="166">
        <v>15</v>
      </c>
      <c r="H71" t="s">
        <v>0</v>
      </c>
      <c r="K71" s="47">
        <f t="shared" si="0"/>
        <v>1</v>
      </c>
      <c r="L71" s="47">
        <f>IF(N71&gt;Q71,1,0)</f>
        <v>0</v>
      </c>
      <c r="M71" s="142"/>
      <c r="N71" s="47">
        <f>G71*L62</f>
        <v>0</v>
      </c>
      <c r="O71" s="36"/>
      <c r="P71" s="44">
        <v>15</v>
      </c>
      <c r="Q71" s="65">
        <v>100</v>
      </c>
      <c r="AB71" s="279" t="s">
        <v>253</v>
      </c>
      <c r="AC71" s="279"/>
      <c r="AD71" s="145">
        <f>(AJ57-AJ58-AJ59)*AJ61*AJ62*2</f>
        <v>0</v>
      </c>
      <c r="AE71" t="s">
        <v>247</v>
      </c>
      <c r="AF71" t="s">
        <v>254</v>
      </c>
      <c r="AG71" s="146">
        <f>AD71*$AJ$65/1000000</f>
        <v>0</v>
      </c>
      <c r="AH71" t="s">
        <v>82</v>
      </c>
      <c r="AI71" t="s">
        <v>255</v>
      </c>
      <c r="AJ71" s="145">
        <f>AJ57-AJ59/2</f>
        <v>0</v>
      </c>
      <c r="AK71" t="s">
        <v>0</v>
      </c>
    </row>
    <row r="72" spans="5:38" ht="13.5" x14ac:dyDescent="0.25">
      <c r="E72" s="26">
        <f>IF(G72="",1,0)</f>
        <v>0</v>
      </c>
      <c r="F72" s="37" t="s">
        <v>56</v>
      </c>
      <c r="G72" s="353" t="s">
        <v>91</v>
      </c>
      <c r="H72" s="353"/>
      <c r="K72" s="47">
        <f>E72*L62</f>
        <v>0</v>
      </c>
      <c r="M72" s="142"/>
      <c r="O72" s="36"/>
      <c r="AF72" t="s">
        <v>256</v>
      </c>
      <c r="AG72" s="115">
        <f>AG71+AG70+AG69</f>
        <v>0</v>
      </c>
      <c r="AH72" t="s">
        <v>82</v>
      </c>
      <c r="AI72" s="13" t="s">
        <v>265</v>
      </c>
      <c r="AJ72" s="145">
        <f>AJ63/2</f>
        <v>0</v>
      </c>
      <c r="AK72" s="150" t="s">
        <v>0</v>
      </c>
      <c r="AL72" s="150" t="s">
        <v>266</v>
      </c>
    </row>
    <row r="73" spans="5:38" x14ac:dyDescent="0.2">
      <c r="E73" s="26">
        <f>(E63+E64+E65+E66+E69+E70+E71+E72)*L62</f>
        <v>0</v>
      </c>
      <c r="L73" t="s">
        <v>245</v>
      </c>
      <c r="N73" s="155">
        <f>N65-N67</f>
        <v>0</v>
      </c>
      <c r="O73" s="13" t="s">
        <v>0</v>
      </c>
    </row>
    <row r="74" spans="5:38" ht="15.75" x14ac:dyDescent="0.3">
      <c r="E74" s="51"/>
      <c r="F74" s="37" t="s">
        <v>271</v>
      </c>
      <c r="G74" s="66">
        <f>AG72</f>
        <v>0</v>
      </c>
      <c r="H74" t="s">
        <v>82</v>
      </c>
      <c r="L74" s="13" t="s">
        <v>274</v>
      </c>
      <c r="N74" s="155">
        <f>'Grabstein+Sockel'!H28*L62</f>
        <v>0</v>
      </c>
      <c r="O74" s="13" t="s">
        <v>0</v>
      </c>
      <c r="AC74" t="s">
        <v>257</v>
      </c>
      <c r="AD74" s="147">
        <f>AG69*AJ69+AG70*AJ70+AG71*AJ71</f>
        <v>0</v>
      </c>
      <c r="AE74" t="s">
        <v>258</v>
      </c>
      <c r="AI74" s="13" t="s">
        <v>268</v>
      </c>
      <c r="AJ74" s="151">
        <f>N63</f>
        <v>0</v>
      </c>
      <c r="AK74" s="13" t="s">
        <v>82</v>
      </c>
    </row>
    <row r="75" spans="5:38" ht="13.5" x14ac:dyDescent="0.25">
      <c r="AC75" t="s">
        <v>259</v>
      </c>
      <c r="AD75" s="147">
        <f>AJ76*AJ58/2</f>
        <v>0</v>
      </c>
      <c r="AE75" t="s">
        <v>258</v>
      </c>
      <c r="AI75" t="s">
        <v>165</v>
      </c>
      <c r="AJ75" s="148">
        <f>N61/1000</f>
        <v>0</v>
      </c>
      <c r="AK75" t="s">
        <v>82</v>
      </c>
    </row>
    <row r="76" spans="5:38" ht="13.5" x14ac:dyDescent="0.25">
      <c r="E76" s="314" t="s">
        <v>283</v>
      </c>
      <c r="F76" s="314"/>
      <c r="G76" s="314"/>
      <c r="L76" s="59" t="s">
        <v>91</v>
      </c>
      <c r="AC76" s="13" t="s">
        <v>267</v>
      </c>
      <c r="AD76" s="147">
        <f>AJ74*AJ72</f>
        <v>0</v>
      </c>
      <c r="AE76" t="s">
        <v>258</v>
      </c>
      <c r="AI76" t="s">
        <v>260</v>
      </c>
      <c r="AJ76" s="149">
        <f>N62/100</f>
        <v>0</v>
      </c>
      <c r="AK76" t="s">
        <v>82</v>
      </c>
    </row>
    <row r="77" spans="5:38" ht="13.5" x14ac:dyDescent="0.25">
      <c r="L77" s="59" t="s">
        <v>236</v>
      </c>
      <c r="AD77" s="115">
        <f>AD74+AD75+AD76</f>
        <v>0</v>
      </c>
      <c r="AE77" t="s">
        <v>258</v>
      </c>
      <c r="AI77" t="s">
        <v>261</v>
      </c>
      <c r="AJ77" s="148">
        <f>N74</f>
        <v>0</v>
      </c>
      <c r="AK77" t="s">
        <v>0</v>
      </c>
    </row>
    <row r="78" spans="5:38" ht="13.5" x14ac:dyDescent="0.25">
      <c r="AC78" t="s">
        <v>262</v>
      </c>
      <c r="AD78" s="147">
        <f>AJ75*AJ77</f>
        <v>0</v>
      </c>
      <c r="AE78" t="s">
        <v>258</v>
      </c>
      <c r="AF78" s="153">
        <f>AD78*1.5</f>
        <v>0</v>
      </c>
      <c r="AG78" t="s">
        <v>258</v>
      </c>
      <c r="AI78" t="s">
        <v>295</v>
      </c>
      <c r="AJ78" s="148">
        <f>N67</f>
        <v>0</v>
      </c>
      <c r="AK78" t="s">
        <v>0</v>
      </c>
    </row>
    <row r="79" spans="5:38" ht="13.5" thickBot="1" x14ac:dyDescent="0.25"/>
    <row r="80" spans="5:38" ht="13.5" thickBot="1" x14ac:dyDescent="0.25">
      <c r="AD80" s="93">
        <f>IF(AD74+AD75&lt;AD78,1,0)</f>
        <v>0</v>
      </c>
      <c r="AF80" s="93">
        <f>IF(AF78&gt;AD77,2,0)</f>
        <v>0</v>
      </c>
      <c r="AH80" s="58">
        <f>(AD80+AF80)*L62</f>
        <v>0</v>
      </c>
    </row>
    <row r="82" spans="29:40" x14ac:dyDescent="0.2">
      <c r="AC82" t="s">
        <v>278</v>
      </c>
      <c r="AD82">
        <v>0</v>
      </c>
      <c r="AE82" s="344" t="s">
        <v>280</v>
      </c>
      <c r="AF82" s="344"/>
      <c r="AG82" s="344"/>
      <c r="AH82" s="344"/>
      <c r="AI82" s="344"/>
      <c r="AJ82" s="160"/>
      <c r="AL82" t="s">
        <v>284</v>
      </c>
      <c r="AM82" t="s">
        <v>285</v>
      </c>
    </row>
    <row r="83" spans="29:40" x14ac:dyDescent="0.2">
      <c r="AC83" t="s">
        <v>279</v>
      </c>
      <c r="AD83">
        <v>1</v>
      </c>
      <c r="AE83" s="344" t="s">
        <v>281</v>
      </c>
      <c r="AF83" s="344"/>
      <c r="AG83" s="344"/>
      <c r="AH83" s="344"/>
      <c r="AI83" s="344"/>
    </row>
    <row r="84" spans="29:40" x14ac:dyDescent="0.2">
      <c r="AC84" t="s">
        <v>277</v>
      </c>
      <c r="AD84">
        <v>2</v>
      </c>
      <c r="AE84" s="344" t="s">
        <v>281</v>
      </c>
      <c r="AF84" s="344"/>
      <c r="AG84" s="344"/>
      <c r="AH84" s="344"/>
      <c r="AI84" s="344"/>
    </row>
    <row r="85" spans="29:40" x14ac:dyDescent="0.2">
      <c r="AC85" s="159" t="s">
        <v>276</v>
      </c>
      <c r="AD85">
        <v>3</v>
      </c>
      <c r="AE85" s="344" t="s">
        <v>281</v>
      </c>
      <c r="AF85" s="344"/>
      <c r="AG85" s="344"/>
      <c r="AH85" s="344"/>
      <c r="AI85" s="344"/>
    </row>
    <row r="87" spans="29:40" x14ac:dyDescent="0.2">
      <c r="AF87" s="344" t="str">
        <f>VLOOKUP(AH80,AD82:AI85,2,TRUE)</f>
        <v>Fundament zulässig</v>
      </c>
      <c r="AG87" s="344"/>
      <c r="AH87" s="344"/>
      <c r="AI87" s="344"/>
      <c r="AJ87" s="344"/>
    </row>
    <row r="89" spans="29:40" x14ac:dyDescent="0.2">
      <c r="AL89" s="136" t="s">
        <v>210</v>
      </c>
    </row>
    <row r="90" spans="29:40" x14ac:dyDescent="0.2">
      <c r="AL90" s="164" t="s">
        <v>229</v>
      </c>
      <c r="AN90" s="93">
        <f>K72</f>
        <v>0</v>
      </c>
    </row>
    <row r="91" spans="29:40" x14ac:dyDescent="0.2">
      <c r="AL91" s="164" t="s">
        <v>158</v>
      </c>
      <c r="AN91" s="93">
        <f>K62</f>
        <v>0</v>
      </c>
    </row>
    <row r="92" spans="29:40" x14ac:dyDescent="0.2">
      <c r="AL92" s="164" t="s">
        <v>235</v>
      </c>
      <c r="AN92" s="93">
        <f>E73</f>
        <v>0</v>
      </c>
    </row>
    <row r="93" spans="29:40" x14ac:dyDescent="0.2">
      <c r="AL93" s="164" t="s">
        <v>234</v>
      </c>
      <c r="AN93" s="93">
        <f>AH80</f>
        <v>0</v>
      </c>
    </row>
    <row r="99" spans="2:37" x14ac:dyDescent="0.2">
      <c r="B99" s="51"/>
      <c r="C99" s="51"/>
      <c r="D99" s="139"/>
    </row>
    <row r="100" spans="2:37" x14ac:dyDescent="0.2">
      <c r="B100" s="51"/>
      <c r="C100" s="51"/>
      <c r="D100" s="51"/>
    </row>
    <row r="101" spans="2:37" x14ac:dyDescent="0.2">
      <c r="D101" s="352" t="str">
        <f>AF87</f>
        <v>Fundament zulässig</v>
      </c>
      <c r="E101" s="314"/>
      <c r="F101" s="314"/>
      <c r="G101" s="314"/>
    </row>
    <row r="102" spans="2:37" x14ac:dyDescent="0.2">
      <c r="E102" s="51"/>
      <c r="F102" s="143"/>
      <c r="G102" s="143"/>
      <c r="H102" s="51"/>
    </row>
    <row r="103" spans="2:37" x14ac:dyDescent="0.2">
      <c r="C103" s="2">
        <f>E66+E67+E68+E71+E82+E83+E85+E86+E89</f>
        <v>0</v>
      </c>
      <c r="E103" s="51"/>
      <c r="F103" s="1" t="str">
        <f>F49</f>
        <v>11903072</v>
      </c>
    </row>
    <row r="104" spans="2:37" x14ac:dyDescent="0.2">
      <c r="E104" s="51"/>
    </row>
    <row r="105" spans="2:37" x14ac:dyDescent="0.2">
      <c r="D105" s="9" t="s">
        <v>27</v>
      </c>
      <c r="E105" s="10">
        <f>E73</f>
        <v>0</v>
      </c>
      <c r="F105" s="11" t="s">
        <v>28</v>
      </c>
      <c r="G105" s="12"/>
    </row>
    <row r="106" spans="2:37" x14ac:dyDescent="0.2">
      <c r="F106" s="32">
        <f>Lizenznehmer!H98</f>
        <v>43541</v>
      </c>
      <c r="G106" s="334" t="s">
        <v>59</v>
      </c>
      <c r="H106" s="334"/>
    </row>
    <row r="108" spans="2:37" x14ac:dyDescent="0.2">
      <c r="B108" s="317" t="str">
        <f>B1</f>
        <v>Friedhofsverwaltung</v>
      </c>
      <c r="C108" s="317"/>
      <c r="D108" s="317"/>
      <c r="E108" s="317"/>
      <c r="F108" s="329" t="str">
        <f>F1</f>
        <v>Tel.: 06074 911360</v>
      </c>
      <c r="G108" s="329"/>
      <c r="H108" s="178" t="s">
        <v>305</v>
      </c>
    </row>
    <row r="109" spans="2:37" ht="13.5" thickBot="1" x14ac:dyDescent="0.25">
      <c r="B109" s="292" t="str">
        <f>B2</f>
        <v>63322 Rödermark, Dieburger Straße 13-17</v>
      </c>
      <c r="C109" s="292"/>
      <c r="D109" s="292"/>
      <c r="E109" s="292"/>
      <c r="F109" s="330" t="str">
        <f>F2</f>
        <v>Fax: 06074 91 11 360</v>
      </c>
      <c r="G109" s="330"/>
      <c r="H109" s="179">
        <v>6</v>
      </c>
    </row>
    <row r="110" spans="2:37" ht="13.5" thickTop="1" x14ac:dyDescent="0.2">
      <c r="G110" s="26"/>
      <c r="AB110" s="13" t="s">
        <v>290</v>
      </c>
    </row>
    <row r="111" spans="2:37" ht="15.75" x14ac:dyDescent="0.25">
      <c r="D111" s="326" t="str">
        <f>D4</f>
        <v>Keine Gründung</v>
      </c>
      <c r="E111" s="326"/>
      <c r="F111" s="326"/>
      <c r="G111" s="326"/>
      <c r="AB111" s="37" t="s">
        <v>291</v>
      </c>
      <c r="AC111">
        <f>Einfassung!N41</f>
        <v>0</v>
      </c>
      <c r="AD111" s="13" t="s">
        <v>0</v>
      </c>
      <c r="AI111" t="s">
        <v>238</v>
      </c>
      <c r="AJ111" s="144">
        <f>N118</f>
        <v>0</v>
      </c>
      <c r="AK111" t="s">
        <v>0</v>
      </c>
    </row>
    <row r="112" spans="2:37" ht="13.5" thickBot="1" x14ac:dyDescent="0.25">
      <c r="D112" s="4" t="str">
        <f>IF(D113&gt;1,"maximal 1 Teil","")</f>
        <v/>
      </c>
      <c r="G112" s="26"/>
      <c r="K112" s="171">
        <f>Einfassung!L6</f>
        <v>0</v>
      </c>
      <c r="L112" s="90" t="s">
        <v>51</v>
      </c>
      <c r="AB112" s="37" t="s">
        <v>292</v>
      </c>
      <c r="AC112">
        <f>Einfassung!N40</f>
        <v>0</v>
      </c>
      <c r="AD112" s="13" t="s">
        <v>0</v>
      </c>
      <c r="AI112" t="s">
        <v>239</v>
      </c>
      <c r="AJ112" s="144">
        <f>G119</f>
        <v>0</v>
      </c>
      <c r="AK112" t="s">
        <v>0</v>
      </c>
    </row>
    <row r="113" spans="2:38" ht="14.25" thickTop="1" thickBot="1" x14ac:dyDescent="0.25">
      <c r="B113" s="24"/>
      <c r="D113" s="26">
        <f>IF(B4=4,1,0)</f>
        <v>0</v>
      </c>
      <c r="E113" s="299" t="s">
        <v>297</v>
      </c>
      <c r="F113" s="351"/>
      <c r="G113" s="300"/>
      <c r="K113" s="171">
        <f>Einfassung!L39</f>
        <v>0</v>
      </c>
      <c r="L113" s="13" t="s">
        <v>289</v>
      </c>
      <c r="AB113" s="37" t="s">
        <v>44</v>
      </c>
      <c r="AC113">
        <f>Einfassung!N42</f>
        <v>0</v>
      </c>
      <c r="AD113" s="13" t="s">
        <v>0</v>
      </c>
      <c r="AI113" t="s">
        <v>240</v>
      </c>
      <c r="AJ113" s="144">
        <f>N120</f>
        <v>0</v>
      </c>
      <c r="AK113" t="s">
        <v>0</v>
      </c>
    </row>
    <row r="114" spans="2:38" ht="13.5" thickTop="1" x14ac:dyDescent="0.2">
      <c r="D114" s="51"/>
      <c r="AB114" s="37" t="s">
        <v>293</v>
      </c>
      <c r="AC114">
        <f>AC111*AC112*AC113/1000000</f>
        <v>0</v>
      </c>
      <c r="AD114" s="13" t="s">
        <v>83</v>
      </c>
      <c r="AI114" t="s">
        <v>241</v>
      </c>
      <c r="AJ114" s="144">
        <f>N121</f>
        <v>0</v>
      </c>
      <c r="AK114" t="s">
        <v>0</v>
      </c>
    </row>
    <row r="115" spans="2:38" ht="15.75" x14ac:dyDescent="0.3">
      <c r="F115" s="37" t="s">
        <v>164</v>
      </c>
      <c r="G115" s="158">
        <f>'Grabstein+Sockel'!H38</f>
        <v>0</v>
      </c>
      <c r="H115" s="41" t="s">
        <v>124</v>
      </c>
      <c r="K115" s="47">
        <f>(K118+L118+K119+L119+K120+L120+K121+L121+K122+L122+K123+L123)*L115</f>
        <v>0</v>
      </c>
      <c r="L115" s="49">
        <f>D113*K112</f>
        <v>0</v>
      </c>
      <c r="M115" s="36"/>
      <c r="N115" s="170">
        <f>G115*L115</f>
        <v>0</v>
      </c>
      <c r="O115" s="41" t="s">
        <v>275</v>
      </c>
      <c r="P115" s="41" t="s">
        <v>102</v>
      </c>
      <c r="Q115" s="13" t="s">
        <v>103</v>
      </c>
      <c r="AB115" s="37" t="s">
        <v>294</v>
      </c>
      <c r="AC115">
        <f>AC114*AJ119</f>
        <v>0</v>
      </c>
      <c r="AD115" s="13" t="s">
        <v>82</v>
      </c>
      <c r="AI115" t="s">
        <v>242</v>
      </c>
      <c r="AJ115" s="144">
        <f>N122</f>
        <v>0</v>
      </c>
      <c r="AK115" t="s">
        <v>0</v>
      </c>
    </row>
    <row r="116" spans="2:38" ht="15.75" x14ac:dyDescent="0.3">
      <c r="F116" s="1" t="s">
        <v>31</v>
      </c>
      <c r="G116" s="8">
        <f>'Grabstein+Sockel'!C28</f>
        <v>0</v>
      </c>
      <c r="H116" s="7" t="s">
        <v>12</v>
      </c>
      <c r="M116" s="36"/>
      <c r="N116" s="47">
        <f t="shared" ref="N116:N123" si="1">G116*$L$115</f>
        <v>0</v>
      </c>
      <c r="O116" s="41"/>
      <c r="P116" s="41"/>
      <c r="Q116" s="13"/>
      <c r="AI116" t="s">
        <v>243</v>
      </c>
      <c r="AJ116" s="144">
        <f>N123</f>
        <v>0</v>
      </c>
      <c r="AK116" t="s">
        <v>0</v>
      </c>
    </row>
    <row r="117" spans="2:38" ht="15.75" x14ac:dyDescent="0.3">
      <c r="F117" s="37" t="s">
        <v>287</v>
      </c>
      <c r="G117" s="5">
        <f>AC115*100</f>
        <v>0</v>
      </c>
      <c r="H117" s="7" t="s">
        <v>12</v>
      </c>
      <c r="M117" s="36"/>
      <c r="N117" s="47">
        <f t="shared" si="1"/>
        <v>0</v>
      </c>
      <c r="O117" s="36"/>
      <c r="P117" s="44">
        <v>0</v>
      </c>
      <c r="Q117" s="13"/>
      <c r="AI117" t="s">
        <v>244</v>
      </c>
      <c r="AJ117">
        <f>AJ111-AJ112-AJ113</f>
        <v>0</v>
      </c>
      <c r="AK117" t="s">
        <v>0</v>
      </c>
    </row>
    <row r="118" spans="2:38" x14ac:dyDescent="0.2">
      <c r="F118" s="37" t="s">
        <v>238</v>
      </c>
      <c r="G118" s="3">
        <f>Einfassung!N8</f>
        <v>0</v>
      </c>
      <c r="H118" t="s">
        <v>0</v>
      </c>
      <c r="K118" s="47">
        <f t="shared" ref="K118:K123" si="2">IF(N118&lt;P118,1,0)</f>
        <v>1</v>
      </c>
      <c r="L118" s="47">
        <f t="shared" ref="L118:L123" si="3">IF(N118&gt;Q118,1,0)</f>
        <v>0</v>
      </c>
      <c r="M118" s="168"/>
      <c r="N118" s="47">
        <f t="shared" si="1"/>
        <v>0</v>
      </c>
      <c r="O118" s="36"/>
      <c r="P118" s="44">
        <v>60</v>
      </c>
      <c r="Q118" s="65">
        <v>350</v>
      </c>
    </row>
    <row r="119" spans="2:38" x14ac:dyDescent="0.2">
      <c r="F119" s="1" t="s">
        <v>239</v>
      </c>
      <c r="G119" s="3">
        <f>Einfassung!N15</f>
        <v>0</v>
      </c>
      <c r="H119" t="s">
        <v>0</v>
      </c>
      <c r="K119" s="47">
        <f t="shared" si="2"/>
        <v>1</v>
      </c>
      <c r="L119" s="47">
        <f t="shared" si="3"/>
        <v>0</v>
      </c>
      <c r="M119" s="168"/>
      <c r="N119" s="47">
        <f t="shared" si="1"/>
        <v>0</v>
      </c>
      <c r="O119" s="36"/>
      <c r="P119" s="44">
        <v>15</v>
      </c>
      <c r="Q119" s="65">
        <v>40</v>
      </c>
      <c r="AI119" t="s">
        <v>273</v>
      </c>
      <c r="AJ119" s="145">
        <v>28</v>
      </c>
      <c r="AK119" t="s">
        <v>81</v>
      </c>
    </row>
    <row r="120" spans="2:38" x14ac:dyDescent="0.2">
      <c r="F120" s="1" t="s">
        <v>240</v>
      </c>
      <c r="G120" s="3">
        <f>Einfassung!N13</f>
        <v>0</v>
      </c>
      <c r="H120" t="s">
        <v>0</v>
      </c>
      <c r="K120" s="47">
        <f t="shared" si="2"/>
        <v>1</v>
      </c>
      <c r="L120" s="47">
        <f t="shared" si="3"/>
        <v>0</v>
      </c>
      <c r="M120" s="168"/>
      <c r="N120" s="47">
        <f t="shared" si="1"/>
        <v>0</v>
      </c>
      <c r="O120" s="36"/>
      <c r="P120" s="44">
        <v>8</v>
      </c>
      <c r="Q120" s="65">
        <v>25</v>
      </c>
    </row>
    <row r="121" spans="2:38" x14ac:dyDescent="0.2">
      <c r="F121" s="37" t="s">
        <v>298</v>
      </c>
      <c r="G121" s="3">
        <f>Einfassung!N7</f>
        <v>0</v>
      </c>
      <c r="H121" t="s">
        <v>0</v>
      </c>
      <c r="K121" s="47">
        <f t="shared" si="2"/>
        <v>1</v>
      </c>
      <c r="L121" s="47">
        <f t="shared" si="3"/>
        <v>0</v>
      </c>
      <c r="M121" s="168"/>
      <c r="N121" s="47">
        <f t="shared" si="1"/>
        <v>0</v>
      </c>
      <c r="O121" s="36"/>
      <c r="P121" s="44">
        <v>60</v>
      </c>
      <c r="Q121" s="65">
        <v>250</v>
      </c>
    </row>
    <row r="122" spans="2:38" x14ac:dyDescent="0.2">
      <c r="F122" s="1" t="s">
        <v>242</v>
      </c>
      <c r="G122" s="3">
        <f>Einfassung!N14</f>
        <v>0</v>
      </c>
      <c r="H122" t="s">
        <v>0</v>
      </c>
      <c r="K122" s="47">
        <f t="shared" si="2"/>
        <v>1</v>
      </c>
      <c r="L122" s="47">
        <f t="shared" si="3"/>
        <v>0</v>
      </c>
      <c r="M122" s="168"/>
      <c r="N122" s="47">
        <f t="shared" si="1"/>
        <v>0</v>
      </c>
      <c r="O122" s="36"/>
      <c r="P122" s="44">
        <v>8</v>
      </c>
      <c r="Q122" s="65">
        <v>25</v>
      </c>
    </row>
    <row r="123" spans="2:38" x14ac:dyDescent="0.2">
      <c r="F123" s="1" t="s">
        <v>243</v>
      </c>
      <c r="G123" s="3">
        <f>Einfassung!N23</f>
        <v>0</v>
      </c>
      <c r="H123" t="s">
        <v>0</v>
      </c>
      <c r="K123" s="47">
        <f t="shared" si="2"/>
        <v>1</v>
      </c>
      <c r="L123" s="47">
        <f t="shared" si="3"/>
        <v>0</v>
      </c>
      <c r="M123" s="168"/>
      <c r="N123" s="47">
        <f t="shared" si="1"/>
        <v>0</v>
      </c>
      <c r="O123" s="36"/>
      <c r="P123" s="44">
        <v>10</v>
      </c>
      <c r="Q123" s="65">
        <v>35</v>
      </c>
      <c r="AB123" s="279" t="s">
        <v>246</v>
      </c>
      <c r="AC123" s="279"/>
      <c r="AD123" s="145">
        <f>AJ114*AJ112*AJ116</f>
        <v>0</v>
      </c>
      <c r="AE123" t="s">
        <v>247</v>
      </c>
      <c r="AF123" t="s">
        <v>248</v>
      </c>
      <c r="AG123" s="146">
        <f>AD123*$AJ$65/1000000</f>
        <v>0</v>
      </c>
      <c r="AH123" t="s">
        <v>82</v>
      </c>
      <c r="AI123" t="s">
        <v>249</v>
      </c>
      <c r="AJ123" s="145">
        <f>AJ112/2</f>
        <v>0</v>
      </c>
      <c r="AK123" t="s">
        <v>0</v>
      </c>
    </row>
    <row r="124" spans="2:38" x14ac:dyDescent="0.2">
      <c r="F124" s="1"/>
      <c r="AB124" s="279" t="s">
        <v>250</v>
      </c>
      <c r="AC124" s="279"/>
      <c r="AD124" s="145">
        <f>AJ114*AJ113*AJ116</f>
        <v>0</v>
      </c>
      <c r="AE124" t="s">
        <v>247</v>
      </c>
      <c r="AF124" t="s">
        <v>251</v>
      </c>
      <c r="AG124" s="146">
        <f>AD124*$AJ$65/1000000</f>
        <v>0</v>
      </c>
      <c r="AH124" t="s">
        <v>82</v>
      </c>
      <c r="AI124" t="s">
        <v>252</v>
      </c>
      <c r="AJ124" s="145">
        <f>AJ112+AJ117/2</f>
        <v>0</v>
      </c>
      <c r="AK124" t="s">
        <v>0</v>
      </c>
    </row>
    <row r="125" spans="2:38" x14ac:dyDescent="0.2">
      <c r="L125" s="13" t="s">
        <v>299</v>
      </c>
      <c r="N125" s="96">
        <f>'Grabstein+Sockel'!AK28</f>
        <v>0</v>
      </c>
      <c r="AB125" s="279" t="s">
        <v>253</v>
      </c>
      <c r="AC125" s="279"/>
      <c r="AD125" s="145">
        <f>(AJ111-AJ112-AJ113)*AJ115*AJ116*2</f>
        <v>0</v>
      </c>
      <c r="AE125" t="s">
        <v>247</v>
      </c>
      <c r="AF125" t="s">
        <v>254</v>
      </c>
      <c r="AG125" s="146">
        <f>AD125*$AJ$65/1000000</f>
        <v>0</v>
      </c>
      <c r="AH125" t="s">
        <v>82</v>
      </c>
      <c r="AI125" t="s">
        <v>255</v>
      </c>
      <c r="AJ125" s="145">
        <f>AJ111-AJ113/2</f>
        <v>0</v>
      </c>
      <c r="AK125" t="s">
        <v>0</v>
      </c>
    </row>
    <row r="126" spans="2:38" ht="13.5" x14ac:dyDescent="0.25">
      <c r="L126" s="13" t="s">
        <v>300</v>
      </c>
      <c r="N126" s="172">
        <f>'Grabstein+Sockel'!Z27</f>
        <v>0</v>
      </c>
      <c r="O126" s="13" t="s">
        <v>0</v>
      </c>
      <c r="AF126" t="s">
        <v>256</v>
      </c>
      <c r="AG126" s="115">
        <f>AG125+AG124+AG123</f>
        <v>0</v>
      </c>
      <c r="AH126" t="s">
        <v>82</v>
      </c>
      <c r="AI126" s="13" t="s">
        <v>265</v>
      </c>
      <c r="AJ126" s="145">
        <f>AJ117/2</f>
        <v>0</v>
      </c>
      <c r="AK126" s="150" t="s">
        <v>0</v>
      </c>
      <c r="AL126" s="150" t="s">
        <v>266</v>
      </c>
    </row>
    <row r="128" spans="2:38" ht="13.5" x14ac:dyDescent="0.25">
      <c r="AC128" t="s">
        <v>257</v>
      </c>
      <c r="AD128" s="147">
        <f>AG123*AJ123+AG124*AJ124+AG125*AJ125</f>
        <v>0</v>
      </c>
      <c r="AE128" t="s">
        <v>258</v>
      </c>
      <c r="AI128" s="13" t="s">
        <v>288</v>
      </c>
      <c r="AJ128" s="173">
        <f>N117/100</f>
        <v>0</v>
      </c>
      <c r="AK128" s="13" t="s">
        <v>82</v>
      </c>
    </row>
    <row r="129" spans="2:39" ht="13.5" x14ac:dyDescent="0.25">
      <c r="AC129" t="s">
        <v>259</v>
      </c>
      <c r="AD129" s="147">
        <f>AJ130*AJ132/2</f>
        <v>0</v>
      </c>
      <c r="AE129" t="s">
        <v>258</v>
      </c>
      <c r="AI129" t="s">
        <v>165</v>
      </c>
      <c r="AJ129" s="174">
        <f>N115/1000</f>
        <v>0</v>
      </c>
      <c r="AK129" t="s">
        <v>82</v>
      </c>
    </row>
    <row r="130" spans="2:39" ht="13.5" x14ac:dyDescent="0.25">
      <c r="AC130" s="13" t="s">
        <v>267</v>
      </c>
      <c r="AD130" s="147">
        <f>AJ128*AJ126</f>
        <v>0</v>
      </c>
      <c r="AE130" t="s">
        <v>258</v>
      </c>
      <c r="AI130" t="s">
        <v>260</v>
      </c>
      <c r="AJ130" s="175">
        <f>N116/100</f>
        <v>0</v>
      </c>
      <c r="AK130" t="s">
        <v>82</v>
      </c>
    </row>
    <row r="131" spans="2:39" ht="13.5" x14ac:dyDescent="0.25">
      <c r="AD131" s="115">
        <f>AD128+AD129+AD130</f>
        <v>0</v>
      </c>
      <c r="AE131" t="s">
        <v>258</v>
      </c>
      <c r="AI131" t="s">
        <v>261</v>
      </c>
      <c r="AJ131" s="174">
        <f>N126</f>
        <v>0</v>
      </c>
      <c r="AK131" t="s">
        <v>0</v>
      </c>
    </row>
    <row r="132" spans="2:39" ht="13.5" x14ac:dyDescent="0.25">
      <c r="AC132" t="s">
        <v>262</v>
      </c>
      <c r="AD132" s="147">
        <f>AJ129*AJ131</f>
        <v>0</v>
      </c>
      <c r="AE132" t="s">
        <v>258</v>
      </c>
      <c r="AF132" s="153">
        <f>AD132*1.5</f>
        <v>0</v>
      </c>
      <c r="AG132" t="s">
        <v>258</v>
      </c>
      <c r="AI132" t="s">
        <v>295</v>
      </c>
      <c r="AJ132" s="174">
        <f>N125*L115</f>
        <v>0</v>
      </c>
      <c r="AK132" t="s">
        <v>0</v>
      </c>
    </row>
    <row r="133" spans="2:39" ht="13.5" thickBot="1" x14ac:dyDescent="0.25"/>
    <row r="134" spans="2:39" ht="13.5" thickBot="1" x14ac:dyDescent="0.25">
      <c r="AD134" s="93">
        <f>IF(AD128+AD129&lt;AD132,1,0)</f>
        <v>0</v>
      </c>
      <c r="AF134" s="93">
        <f>IF(AF132&gt;AD131,2,0)</f>
        <v>0</v>
      </c>
      <c r="AH134" s="58">
        <f>(AD134+AF134)*L115</f>
        <v>0</v>
      </c>
    </row>
    <row r="136" spans="2:39" x14ac:dyDescent="0.2">
      <c r="E136" s="302"/>
      <c r="F136" s="302"/>
      <c r="G136" s="302"/>
      <c r="AC136" t="s">
        <v>278</v>
      </c>
      <c r="AD136">
        <v>0</v>
      </c>
      <c r="AE136" s="344" t="s">
        <v>280</v>
      </c>
      <c r="AF136" s="344"/>
      <c r="AG136" s="344"/>
      <c r="AH136" s="344"/>
      <c r="AI136" s="344"/>
      <c r="AJ136" s="160"/>
      <c r="AL136" t="s">
        <v>284</v>
      </c>
      <c r="AM136" t="s">
        <v>285</v>
      </c>
    </row>
    <row r="137" spans="2:39" x14ac:dyDescent="0.2">
      <c r="E137" s="335" t="s">
        <v>302</v>
      </c>
      <c r="F137" s="335"/>
      <c r="G137" s="335"/>
      <c r="AC137" t="s">
        <v>279</v>
      </c>
      <c r="AD137">
        <v>1</v>
      </c>
      <c r="AE137" s="344" t="s">
        <v>281</v>
      </c>
      <c r="AF137" s="344"/>
      <c r="AG137" s="344"/>
      <c r="AH137" s="344"/>
      <c r="AI137" s="344"/>
    </row>
    <row r="138" spans="2:39" x14ac:dyDescent="0.2">
      <c r="E138" s="335" t="s">
        <v>303</v>
      </c>
      <c r="F138" s="335"/>
      <c r="G138" s="335"/>
      <c r="AC138" t="s">
        <v>277</v>
      </c>
      <c r="AD138">
        <v>2</v>
      </c>
      <c r="AE138" s="344" t="s">
        <v>281</v>
      </c>
      <c r="AF138" s="344"/>
      <c r="AG138" s="344"/>
      <c r="AH138" s="344"/>
      <c r="AI138" s="344"/>
    </row>
    <row r="139" spans="2:39" x14ac:dyDescent="0.2">
      <c r="AC139" s="159" t="s">
        <v>276</v>
      </c>
      <c r="AD139">
        <v>3</v>
      </c>
      <c r="AE139" s="344" t="s">
        <v>281</v>
      </c>
      <c r="AF139" s="344"/>
      <c r="AG139" s="344"/>
      <c r="AH139" s="344"/>
      <c r="AI139" s="344"/>
    </row>
    <row r="141" spans="2:39" x14ac:dyDescent="0.2">
      <c r="B141" s="339"/>
      <c r="C141" s="339"/>
      <c r="AF141" s="344" t="str">
        <f>VLOOKUP(AH134,AD136:AI139,2,TRUE)</f>
        <v>Fundament zulässig</v>
      </c>
      <c r="AG141" s="344"/>
      <c r="AH141" s="344"/>
      <c r="AI141" s="344"/>
      <c r="AJ141" s="344"/>
    </row>
    <row r="143" spans="2:39" x14ac:dyDescent="0.2">
      <c r="AL143" s="136" t="s">
        <v>210</v>
      </c>
    </row>
    <row r="144" spans="2:39" x14ac:dyDescent="0.2">
      <c r="B144" s="339" t="s">
        <v>301</v>
      </c>
      <c r="C144" s="339"/>
      <c r="AL144" s="169" t="s">
        <v>229</v>
      </c>
    </row>
    <row r="145" spans="3:40" x14ac:dyDescent="0.2">
      <c r="AL145" s="169" t="s">
        <v>158</v>
      </c>
      <c r="AN145" s="93">
        <f>K115</f>
        <v>0</v>
      </c>
    </row>
    <row r="146" spans="3:40" x14ac:dyDescent="0.2">
      <c r="AL146" s="169" t="s">
        <v>235</v>
      </c>
    </row>
    <row r="147" spans="3:40" x14ac:dyDescent="0.2">
      <c r="AL147" s="169" t="s">
        <v>234</v>
      </c>
      <c r="AN147" s="93">
        <f>AH134</f>
        <v>0</v>
      </c>
    </row>
    <row r="155" spans="3:40" x14ac:dyDescent="0.2">
      <c r="F155" s="1" t="str">
        <f>F49</f>
        <v>11903072</v>
      </c>
    </row>
    <row r="156" spans="3:40" x14ac:dyDescent="0.2">
      <c r="C156" s="2" t="e">
        <f>E119+E120+E121+E124+E135+E136+E138+E139+E142</f>
        <v>#VALUE!</v>
      </c>
      <c r="E156" s="51"/>
    </row>
    <row r="157" spans="3:40" x14ac:dyDescent="0.2">
      <c r="E157" s="51"/>
    </row>
    <row r="158" spans="3:40" x14ac:dyDescent="0.2">
      <c r="F158" s="32">
        <f>F106</f>
        <v>43541</v>
      </c>
      <c r="G158" s="334" t="s">
        <v>59</v>
      </c>
      <c r="H158" s="334"/>
    </row>
    <row r="162" spans="2:46" x14ac:dyDescent="0.2">
      <c r="B162" s="317" t="str">
        <f>Lizenznehmer!A100</f>
        <v>Friedhofsverwaltung</v>
      </c>
      <c r="C162" s="317"/>
      <c r="D162" s="317"/>
      <c r="E162" s="317"/>
      <c r="F162" s="329" t="str">
        <f>Lizenznehmer!G100</f>
        <v>06074 911360</v>
      </c>
      <c r="G162" s="329"/>
      <c r="H162" s="223" t="s">
        <v>305</v>
      </c>
    </row>
    <row r="163" spans="2:46" ht="13.5" thickBot="1" x14ac:dyDescent="0.25">
      <c r="B163" s="292" t="str">
        <f>Lizenznehmer!A101</f>
        <v>63322 Rödermark, Dieburger Straße 13-17</v>
      </c>
      <c r="C163" s="292"/>
      <c r="D163" s="292"/>
      <c r="E163" s="292"/>
      <c r="F163" s="330" t="str">
        <f>Lizenznehmer!G101</f>
        <v>06074 91 11 360</v>
      </c>
      <c r="G163" s="330"/>
      <c r="H163" s="222">
        <v>7</v>
      </c>
    </row>
    <row r="164" spans="2:46" ht="13.5" thickTop="1" x14ac:dyDescent="0.2">
      <c r="G164" s="26"/>
      <c r="H164" s="2">
        <v>0</v>
      </c>
      <c r="W164" s="125"/>
      <c r="X164" s="125"/>
      <c r="Y164" s="125"/>
      <c r="Z164" s="125"/>
      <c r="AA164" s="239" t="s">
        <v>156</v>
      </c>
      <c r="AB164" s="239">
        <f>N177</f>
        <v>0</v>
      </c>
      <c r="AC164" s="239" t="s">
        <v>344</v>
      </c>
      <c r="AD164" s="239">
        <f>N180</f>
        <v>0</v>
      </c>
      <c r="AE164" s="239"/>
      <c r="AF164" s="239" t="s">
        <v>345</v>
      </c>
      <c r="AG164" s="239">
        <f>AB164+AD164</f>
        <v>0</v>
      </c>
      <c r="AH164" s="239">
        <f>AG164*AN164</f>
        <v>0</v>
      </c>
      <c r="AI164" s="239" t="s">
        <v>346</v>
      </c>
      <c r="AJ164" s="240">
        <f>P191</f>
        <v>0</v>
      </c>
      <c r="AK164" s="239" t="s">
        <v>347</v>
      </c>
      <c r="AL164" s="239">
        <f>P192*AJ164</f>
        <v>0</v>
      </c>
      <c r="AM164" s="241">
        <f>AL164</f>
        <v>0</v>
      </c>
      <c r="AN164" s="239">
        <f>L174</f>
        <v>0</v>
      </c>
      <c r="AO164" s="239">
        <f>AM164*AN164</f>
        <v>0</v>
      </c>
      <c r="AP164" s="239"/>
      <c r="AQ164" s="239" t="s">
        <v>348</v>
      </c>
      <c r="AR164" s="239" t="e">
        <f>AK193</f>
        <v>#N/A</v>
      </c>
      <c r="AS164" s="239">
        <f>T181</f>
        <v>0</v>
      </c>
      <c r="AT164" s="241" t="e">
        <f>AR164*AS164</f>
        <v>#N/A</v>
      </c>
    </row>
    <row r="165" spans="2:46" ht="15.75" x14ac:dyDescent="0.25">
      <c r="D165" s="326" t="str">
        <f>D4</f>
        <v>Keine Gründung</v>
      </c>
      <c r="E165" s="326"/>
      <c r="F165" s="326"/>
      <c r="G165" s="326"/>
      <c r="W165" s="125"/>
      <c r="X165" s="125"/>
      <c r="Y165" s="125"/>
      <c r="Z165" s="125"/>
      <c r="AA165" s="239"/>
      <c r="AB165" s="239"/>
      <c r="AC165" s="239" t="s">
        <v>344</v>
      </c>
      <c r="AD165" s="239"/>
      <c r="AE165" s="239"/>
      <c r="AF165" s="239" t="s">
        <v>345</v>
      </c>
      <c r="AG165" s="239">
        <f>N201</f>
        <v>0</v>
      </c>
      <c r="AH165" s="239">
        <f>AN165*AG165</f>
        <v>0</v>
      </c>
      <c r="AI165" s="239" t="s">
        <v>349</v>
      </c>
      <c r="AJ165" s="239">
        <v>1</v>
      </c>
      <c r="AK165" s="239" t="s">
        <v>347</v>
      </c>
      <c r="AL165" s="242">
        <f>N199</f>
        <v>0</v>
      </c>
      <c r="AM165" s="241">
        <f>AL165</f>
        <v>0</v>
      </c>
      <c r="AN165" s="239">
        <f>L198</f>
        <v>0</v>
      </c>
      <c r="AO165" s="239">
        <f>AM165*AN165</f>
        <v>0</v>
      </c>
      <c r="AP165" s="239"/>
      <c r="AQ165" s="239" t="s">
        <v>350</v>
      </c>
      <c r="AR165" s="239" t="e">
        <f>AK171</f>
        <v>#N/A</v>
      </c>
      <c r="AS165" s="239">
        <f>U181</f>
        <v>0</v>
      </c>
      <c r="AT165" s="241" t="e">
        <f>AR165*AS165</f>
        <v>#N/A</v>
      </c>
    </row>
    <row r="166" spans="2:46" ht="13.5" thickBot="1" x14ac:dyDescent="0.25">
      <c r="T166" s="227"/>
      <c r="U166" s="227"/>
      <c r="V166" s="227"/>
      <c r="W166" s="125"/>
      <c r="X166" s="125"/>
      <c r="Y166" s="125"/>
      <c r="Z166" s="125"/>
      <c r="AA166" s="243"/>
      <c r="AB166" s="243"/>
      <c r="AC166" s="243"/>
      <c r="AD166" s="243"/>
      <c r="AE166" s="243"/>
      <c r="AF166" s="243"/>
      <c r="AG166" s="243"/>
      <c r="AH166" s="244">
        <f>SUM(AH164:AH165)</f>
        <v>0</v>
      </c>
      <c r="AI166" s="243"/>
      <c r="AJ166" s="243"/>
      <c r="AK166" s="243"/>
      <c r="AL166" s="243"/>
      <c r="AM166" s="243"/>
      <c r="AN166" s="243">
        <f>SUM(AN164:AN165)</f>
        <v>0</v>
      </c>
      <c r="AO166" s="244">
        <f>SUM(AO164:AO165)</f>
        <v>0</v>
      </c>
      <c r="AP166" s="243"/>
      <c r="AQ166" s="243"/>
      <c r="AR166" s="243"/>
      <c r="AS166" s="243"/>
      <c r="AT166" s="245" t="e">
        <f>SUM(AT164:AT165)</f>
        <v>#N/A</v>
      </c>
    </row>
    <row r="167" spans="2:46" ht="13.5" thickBot="1" x14ac:dyDescent="0.25">
      <c r="D167" s="26">
        <f>IF(B4=5,1,0)</f>
        <v>0</v>
      </c>
      <c r="E167" s="331" t="s">
        <v>363</v>
      </c>
      <c r="F167" s="332"/>
      <c r="G167" s="333"/>
      <c r="T167" s="227"/>
      <c r="U167" s="227"/>
      <c r="V167" s="227"/>
      <c r="W167" s="125"/>
      <c r="X167" s="125"/>
      <c r="Y167" s="125"/>
      <c r="Z167" s="125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46"/>
      <c r="AP167" s="239"/>
      <c r="AQ167" s="239"/>
      <c r="AR167" s="239"/>
      <c r="AS167" s="239"/>
      <c r="AT167" s="239"/>
    </row>
    <row r="168" spans="2:46" ht="15.75" x14ac:dyDescent="0.3">
      <c r="D168" s="26">
        <f>IF(B112=3,1,0)</f>
        <v>0</v>
      </c>
      <c r="F168" s="37" t="s">
        <v>367</v>
      </c>
      <c r="G168" s="270">
        <f>'Grabstein+Sockel'!D38</f>
        <v>0</v>
      </c>
      <c r="H168" s="13" t="s">
        <v>0</v>
      </c>
      <c r="T168" s="227"/>
      <c r="U168" s="227"/>
      <c r="V168" s="227"/>
      <c r="W168" s="125"/>
      <c r="X168" s="125"/>
      <c r="Y168" s="125"/>
      <c r="Z168" s="125"/>
      <c r="AA168" s="246"/>
      <c r="AB168" s="246"/>
      <c r="AC168" s="246" t="s">
        <v>343</v>
      </c>
      <c r="AD168" s="246"/>
      <c r="AE168" s="246"/>
      <c r="AF168" s="246"/>
      <c r="AG168" s="246"/>
      <c r="AH168" s="246"/>
      <c r="AI168" s="246"/>
      <c r="AJ168" s="246"/>
      <c r="AK168" s="246"/>
      <c r="AL168" s="246"/>
      <c r="AM168" s="246"/>
      <c r="AN168" s="246"/>
      <c r="AO168" s="246"/>
      <c r="AP168" s="246"/>
      <c r="AQ168" s="246"/>
      <c r="AR168" s="246"/>
      <c r="AS168" s="246"/>
      <c r="AT168" s="246"/>
    </row>
    <row r="169" spans="2:46" ht="15.75" x14ac:dyDescent="0.3">
      <c r="E169" s="51"/>
      <c r="F169" s="37" t="s">
        <v>164</v>
      </c>
      <c r="G169" s="158">
        <f>'Grabstein+Sockel'!H38</f>
        <v>0</v>
      </c>
      <c r="H169" s="41" t="s">
        <v>124</v>
      </c>
      <c r="T169" s="227"/>
      <c r="U169" s="227"/>
      <c r="V169" s="227"/>
      <c r="W169" s="125"/>
      <c r="X169" s="125" t="s">
        <v>351</v>
      </c>
      <c r="Y169" s="125" t="s">
        <v>352</v>
      </c>
      <c r="Z169" s="125" t="s">
        <v>353</v>
      </c>
      <c r="AA169" s="246"/>
      <c r="AB169" s="246"/>
      <c r="AC169" s="246" t="s">
        <v>61</v>
      </c>
      <c r="AD169" s="247">
        <f>P194</f>
        <v>0</v>
      </c>
      <c r="AE169" s="246">
        <f>AD169+4</f>
        <v>4</v>
      </c>
      <c r="AF169" s="246"/>
      <c r="AG169" s="246" t="e">
        <f>HLOOKUP(AD169,AD173:AS174,1)</f>
        <v>#N/A</v>
      </c>
      <c r="AH169" s="246" t="e">
        <f>HLOOKUP(AE169,AC173:AS174,1)</f>
        <v>#N/A</v>
      </c>
      <c r="AI169" s="246" t="e">
        <f>HLOOKUP(AG169,AC173:AS174,2)</f>
        <v>#N/A</v>
      </c>
      <c r="AJ169" s="246" t="e">
        <f>HLOOKUP(AH169,AC173:AS174,2)</f>
        <v>#N/A</v>
      </c>
      <c r="AK169" s="246" t="e">
        <f>INDEX(AC175:AS189,AI170,AI169)</f>
        <v>#N/A</v>
      </c>
      <c r="AL169" s="246"/>
      <c r="AM169" s="246"/>
      <c r="AN169" s="246"/>
      <c r="AO169" s="246"/>
      <c r="AP169" s="246"/>
      <c r="AQ169" s="246"/>
      <c r="AR169" s="246"/>
      <c r="AS169" s="246"/>
      <c r="AT169" s="246"/>
    </row>
    <row r="170" spans="2:46" ht="15.75" x14ac:dyDescent="0.3">
      <c r="E170" s="51"/>
      <c r="F170" s="1" t="s">
        <v>31</v>
      </c>
      <c r="G170" s="8">
        <f>'Grabstein+Sockel'!C35</f>
        <v>0</v>
      </c>
      <c r="H170" s="7" t="s">
        <v>12</v>
      </c>
      <c r="T170" s="227"/>
      <c r="U170" s="227"/>
      <c r="V170" s="227"/>
      <c r="W170" s="125"/>
      <c r="X170" s="125">
        <f>AO164</f>
        <v>0</v>
      </c>
      <c r="Y170" s="125" t="e">
        <f>AK193</f>
        <v>#N/A</v>
      </c>
      <c r="Z170" s="125" t="e">
        <f>AK171</f>
        <v>#N/A</v>
      </c>
      <c r="AA170" s="246"/>
      <c r="AB170" s="246"/>
      <c r="AC170" s="246" t="s">
        <v>346</v>
      </c>
      <c r="AD170" s="247">
        <f>AH166</f>
        <v>0</v>
      </c>
      <c r="AE170" s="246">
        <f>AD170+4</f>
        <v>4</v>
      </c>
      <c r="AF170" s="246"/>
      <c r="AG170" s="246" t="e">
        <f>VLOOKUP(AD170,AA175:AB188,1)</f>
        <v>#N/A</v>
      </c>
      <c r="AH170" s="246" t="e">
        <f>VLOOKUP(AE170,AA175:AB188,1)</f>
        <v>#N/A</v>
      </c>
      <c r="AI170" s="246" t="e">
        <f>VLOOKUP(AG170,AA175:AB188,2)</f>
        <v>#N/A</v>
      </c>
      <c r="AJ170" s="246" t="e">
        <f>VLOOKUP(AH170,AA175:AB188,2)</f>
        <v>#N/A</v>
      </c>
      <c r="AK170" s="246" t="e">
        <f>INDEX(AC175:AS188,AJ170,AJ169)</f>
        <v>#N/A</v>
      </c>
      <c r="AL170" s="246"/>
      <c r="AM170" s="246"/>
      <c r="AN170" s="246"/>
      <c r="AO170" s="246"/>
      <c r="AP170" s="246"/>
      <c r="AQ170" s="246"/>
      <c r="AR170" s="246"/>
      <c r="AS170" s="246"/>
      <c r="AT170" s="246"/>
    </row>
    <row r="171" spans="2:46" x14ac:dyDescent="0.2">
      <c r="T171" s="227"/>
      <c r="U171" s="227"/>
      <c r="V171" s="227"/>
      <c r="W171" s="125"/>
      <c r="X171" s="125" t="e">
        <f>IF(N184=1,Y170,Z170)</f>
        <v>#N/A</v>
      </c>
      <c r="Y171" s="125"/>
      <c r="Z171" s="125"/>
      <c r="AA171" s="246"/>
      <c r="AB171" s="246"/>
      <c r="AC171" s="246"/>
      <c r="AD171" s="248"/>
      <c r="AE171" s="246"/>
      <c r="AF171" s="246"/>
      <c r="AG171" s="246"/>
      <c r="AH171" s="246"/>
      <c r="AI171" s="246"/>
      <c r="AJ171" s="246"/>
      <c r="AK171" s="249" t="e">
        <f>(AK169+AK170)/2</f>
        <v>#N/A</v>
      </c>
      <c r="AL171" s="246"/>
      <c r="AM171" s="246"/>
      <c r="AN171" s="246"/>
      <c r="AO171" s="246"/>
      <c r="AP171" s="246"/>
      <c r="AQ171" s="246"/>
      <c r="AR171" s="246"/>
      <c r="AS171" s="246"/>
      <c r="AT171" s="246"/>
    </row>
    <row r="172" spans="2:46" ht="13.5" x14ac:dyDescent="0.25">
      <c r="D172" s="221"/>
      <c r="E172" s="235" t="s">
        <v>112</v>
      </c>
      <c r="F172" s="327" t="s">
        <v>91</v>
      </c>
      <c r="G172" s="328"/>
      <c r="T172" s="227"/>
      <c r="U172" s="227"/>
      <c r="V172" s="227"/>
      <c r="W172" s="125"/>
      <c r="X172" s="125" t="e">
        <f>X170-X171</f>
        <v>#N/A</v>
      </c>
      <c r="Y172" s="125"/>
      <c r="Z172" s="125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  <c r="AM172" s="246"/>
      <c r="AN172" s="246"/>
      <c r="AO172" s="246"/>
      <c r="AP172" s="246"/>
      <c r="AQ172" s="246"/>
      <c r="AR172" s="246"/>
      <c r="AS172" s="246"/>
      <c r="AT172" s="246"/>
    </row>
    <row r="173" spans="2:46" x14ac:dyDescent="0.2">
      <c r="E173" s="26">
        <f>IF(F172="",1,0)</f>
        <v>0</v>
      </c>
      <c r="T173" s="227"/>
      <c r="U173" s="227"/>
      <c r="V173" s="227"/>
      <c r="W173" s="125"/>
      <c r="X173" s="125"/>
      <c r="Y173" s="125"/>
      <c r="Z173" s="125"/>
      <c r="AA173" s="246"/>
      <c r="AB173" s="246"/>
      <c r="AC173" s="246"/>
      <c r="AD173" s="250">
        <v>50</v>
      </c>
      <c r="AE173" s="250">
        <v>55</v>
      </c>
      <c r="AF173" s="250">
        <v>60</v>
      </c>
      <c r="AG173" s="250">
        <v>65</v>
      </c>
      <c r="AH173" s="250">
        <v>70</v>
      </c>
      <c r="AI173" s="250">
        <v>70.099999999999994</v>
      </c>
      <c r="AJ173" s="250">
        <v>75</v>
      </c>
      <c r="AK173" s="250">
        <v>80</v>
      </c>
      <c r="AL173" s="250">
        <v>85</v>
      </c>
      <c r="AM173" s="250">
        <v>90</v>
      </c>
      <c r="AN173" s="250">
        <v>95</v>
      </c>
      <c r="AO173" s="250">
        <v>100</v>
      </c>
      <c r="AP173" s="250">
        <v>105</v>
      </c>
      <c r="AQ173" s="250">
        <v>110</v>
      </c>
      <c r="AR173" s="250">
        <v>115</v>
      </c>
      <c r="AS173" s="250">
        <v>120</v>
      </c>
      <c r="AT173" s="246"/>
    </row>
    <row r="174" spans="2:46" ht="13.5" thickBot="1" x14ac:dyDescent="0.25">
      <c r="E174" s="26"/>
      <c r="F174" s="324" t="s">
        <v>338</v>
      </c>
      <c r="G174" s="324"/>
      <c r="K174" s="47">
        <f>(K177+L177+K178+L178+K179+L179+K180+L180+K181+L181+K182+L182+K183+L183+K184+L184)*L174</f>
        <v>0</v>
      </c>
      <c r="L174" s="49">
        <f>D167*L4</f>
        <v>0</v>
      </c>
      <c r="N174" s="237">
        <f>G174*L174</f>
        <v>0</v>
      </c>
      <c r="O174" s="41" t="s">
        <v>275</v>
      </c>
      <c r="P174" s="41" t="s">
        <v>102</v>
      </c>
      <c r="Q174" s="13" t="s">
        <v>103</v>
      </c>
      <c r="T174" s="227"/>
      <c r="U174" s="272"/>
      <c r="V174" s="251"/>
      <c r="W174" s="125"/>
      <c r="X174" s="125"/>
      <c r="Y174" s="125"/>
      <c r="Z174" s="125"/>
      <c r="AA174" s="246"/>
      <c r="AB174" s="246"/>
      <c r="AC174" s="239">
        <v>1</v>
      </c>
      <c r="AD174" s="246">
        <v>2</v>
      </c>
      <c r="AE174" s="246">
        <v>3</v>
      </c>
      <c r="AF174" s="246">
        <v>4</v>
      </c>
      <c r="AG174" s="246">
        <v>5</v>
      </c>
      <c r="AH174" s="246">
        <v>6</v>
      </c>
      <c r="AI174" s="246">
        <v>7</v>
      </c>
      <c r="AJ174" s="246">
        <v>8</v>
      </c>
      <c r="AK174" s="246">
        <v>9</v>
      </c>
      <c r="AL174" s="246">
        <v>10</v>
      </c>
      <c r="AM174" s="246">
        <v>11</v>
      </c>
      <c r="AN174" s="246">
        <v>12</v>
      </c>
      <c r="AO174" s="246">
        <v>13</v>
      </c>
      <c r="AP174" s="246">
        <v>14</v>
      </c>
      <c r="AQ174" s="246">
        <v>15</v>
      </c>
      <c r="AR174" s="246">
        <v>16</v>
      </c>
      <c r="AS174" s="246">
        <v>17</v>
      </c>
      <c r="AT174" s="246"/>
    </row>
    <row r="175" spans="2:46" x14ac:dyDescent="0.2">
      <c r="E175" s="81">
        <f>IF(G175&lt;=0,1,0)</f>
        <v>0</v>
      </c>
      <c r="F175" s="37" t="s">
        <v>37</v>
      </c>
      <c r="G175" s="229">
        <v>140</v>
      </c>
      <c r="H175" t="s">
        <v>0</v>
      </c>
      <c r="K175" s="47">
        <f t="shared" ref="K175:K177" si="4">IF(N175&lt;P175,1,0)</f>
        <v>1</v>
      </c>
      <c r="L175" s="47">
        <f>IF(N175&gt;Q175,1,0)</f>
        <v>0</v>
      </c>
      <c r="M175" s="224"/>
      <c r="N175" s="47">
        <f>G175*L174</f>
        <v>0</v>
      </c>
      <c r="O175" s="36"/>
      <c r="P175" s="44">
        <v>50</v>
      </c>
      <c r="Q175" s="65">
        <v>250</v>
      </c>
      <c r="T175" s="227"/>
      <c r="U175" s="347"/>
      <c r="V175" s="347"/>
      <c r="W175" s="347"/>
      <c r="X175" s="125"/>
      <c r="Y175" s="125"/>
      <c r="Z175" s="125"/>
      <c r="AA175" s="246"/>
      <c r="AB175" s="246">
        <v>1</v>
      </c>
      <c r="AC175" s="246"/>
      <c r="AD175" s="250">
        <v>50</v>
      </c>
      <c r="AE175" s="250">
        <v>55</v>
      </c>
      <c r="AF175" s="250">
        <v>60</v>
      </c>
      <c r="AG175" s="250">
        <v>65</v>
      </c>
      <c r="AH175" s="250">
        <v>70</v>
      </c>
      <c r="AI175" s="250">
        <v>70.099999999999994</v>
      </c>
      <c r="AJ175" s="250">
        <v>75</v>
      </c>
      <c r="AK175" s="250">
        <v>80</v>
      </c>
      <c r="AL175" s="250">
        <v>85</v>
      </c>
      <c r="AM175" s="250">
        <v>90</v>
      </c>
      <c r="AN175" s="250">
        <v>95</v>
      </c>
      <c r="AO175" s="250">
        <v>100</v>
      </c>
      <c r="AP175" s="250">
        <v>105</v>
      </c>
      <c r="AQ175" s="250">
        <v>110</v>
      </c>
      <c r="AR175" s="250">
        <v>115</v>
      </c>
      <c r="AS175" s="250">
        <v>120</v>
      </c>
      <c r="AT175" s="246"/>
    </row>
    <row r="176" spans="2:46" x14ac:dyDescent="0.2">
      <c r="E176" s="81">
        <f>IF(G176&lt;=0,1,0)</f>
        <v>0</v>
      </c>
      <c r="F176" s="37" t="s">
        <v>36</v>
      </c>
      <c r="G176" s="229">
        <v>20</v>
      </c>
      <c r="H176" t="s">
        <v>0</v>
      </c>
      <c r="K176" s="47">
        <f t="shared" si="4"/>
        <v>1</v>
      </c>
      <c r="L176" s="47">
        <f>IF(N176&gt;Q176,1,0)</f>
        <v>0</v>
      </c>
      <c r="M176" s="224"/>
      <c r="N176" s="47">
        <f>G176*L174</f>
        <v>0</v>
      </c>
      <c r="O176" s="36"/>
      <c r="P176" s="44">
        <v>20</v>
      </c>
      <c r="Q176" s="65">
        <v>60</v>
      </c>
      <c r="T176" s="227"/>
      <c r="U176" s="347"/>
      <c r="V176" s="347"/>
      <c r="W176" s="347"/>
      <c r="X176" s="125"/>
      <c r="Y176" s="125"/>
      <c r="Z176" s="125"/>
      <c r="AA176" s="250">
        <v>60</v>
      </c>
      <c r="AB176" s="246">
        <v>2</v>
      </c>
      <c r="AC176" s="250">
        <v>60</v>
      </c>
      <c r="AD176" s="250">
        <v>89</v>
      </c>
      <c r="AE176" s="239">
        <v>94.1</v>
      </c>
      <c r="AF176" s="250">
        <v>99.2</v>
      </c>
      <c r="AG176" s="239">
        <v>103.05</v>
      </c>
      <c r="AH176" s="250">
        <v>106.9</v>
      </c>
      <c r="AI176" s="250">
        <v>192.6</v>
      </c>
      <c r="AJ176" s="239">
        <v>201.35</v>
      </c>
      <c r="AK176" s="250">
        <v>210.1</v>
      </c>
      <c r="AL176" s="239">
        <v>318.8</v>
      </c>
      <c r="AM176" s="250">
        <v>227.5</v>
      </c>
      <c r="AN176" s="239">
        <v>236.5</v>
      </c>
      <c r="AO176" s="250">
        <v>244.6</v>
      </c>
      <c r="AP176" s="239">
        <v>253.2</v>
      </c>
      <c r="AQ176" s="250">
        <v>261.8</v>
      </c>
      <c r="AR176" s="239">
        <v>270.55</v>
      </c>
      <c r="AS176" s="250">
        <v>279.3</v>
      </c>
      <c r="AT176" s="246"/>
    </row>
    <row r="177" spans="1:46" x14ac:dyDescent="0.2">
      <c r="E177" s="81">
        <f>IF(G177&lt;=0,1,0)</f>
        <v>0</v>
      </c>
      <c r="F177" s="37" t="s">
        <v>38</v>
      </c>
      <c r="G177" s="229">
        <v>20</v>
      </c>
      <c r="H177" t="s">
        <v>0</v>
      </c>
      <c r="K177" s="47">
        <f t="shared" si="4"/>
        <v>1</v>
      </c>
      <c r="L177" s="47">
        <f>IF(N177&gt;Q177,1,0)</f>
        <v>0</v>
      </c>
      <c r="M177" s="224"/>
      <c r="N177" s="47">
        <f>G177*L174</f>
        <v>0</v>
      </c>
      <c r="O177" s="36"/>
      <c r="P177" s="44">
        <v>20</v>
      </c>
      <c r="Q177" s="65">
        <v>60</v>
      </c>
      <c r="T177" s="227"/>
      <c r="U177" s="227"/>
      <c r="V177" s="227"/>
      <c r="W177" s="125"/>
      <c r="X177" s="125"/>
      <c r="Y177" s="125"/>
      <c r="Z177" s="125"/>
      <c r="AA177" s="250">
        <v>65</v>
      </c>
      <c r="AB177" s="246">
        <v>3</v>
      </c>
      <c r="AC177" s="250">
        <v>65</v>
      </c>
      <c r="AD177" s="239">
        <v>71.25</v>
      </c>
      <c r="AE177" s="239">
        <v>74.45</v>
      </c>
      <c r="AF177" s="239">
        <v>79.650000000000006</v>
      </c>
      <c r="AG177" s="239">
        <v>83.174999999999997</v>
      </c>
      <c r="AH177" s="239">
        <v>86.7</v>
      </c>
      <c r="AI177" s="239">
        <v>157.55000000000001</v>
      </c>
      <c r="AJ177" s="239">
        <v>164.65</v>
      </c>
      <c r="AK177" s="239">
        <v>171.75</v>
      </c>
      <c r="AL177" s="239">
        <v>228.8</v>
      </c>
      <c r="AM177" s="239">
        <v>185.85</v>
      </c>
      <c r="AN177" s="239">
        <v>193.05</v>
      </c>
      <c r="AO177" s="239">
        <v>199.8</v>
      </c>
      <c r="AP177" s="239">
        <v>206.875</v>
      </c>
      <c r="AQ177" s="239">
        <v>213.95</v>
      </c>
      <c r="AR177" s="239">
        <v>221.05</v>
      </c>
      <c r="AS177" s="239">
        <v>228.15</v>
      </c>
      <c r="AT177" s="246"/>
    </row>
    <row r="178" spans="1:46" x14ac:dyDescent="0.2">
      <c r="E178" s="81"/>
      <c r="F178" s="37" t="s">
        <v>339</v>
      </c>
      <c r="G178" s="230">
        <f>E183</f>
        <v>2</v>
      </c>
      <c r="N178" s="268">
        <f>E183*L174</f>
        <v>0</v>
      </c>
      <c r="T178" s="227"/>
      <c r="U178" s="227"/>
      <c r="V178" s="252"/>
      <c r="W178" s="253"/>
      <c r="X178" s="40" t="s">
        <v>286</v>
      </c>
      <c r="Y178" s="125"/>
      <c r="Z178" s="125"/>
      <c r="AA178" s="250">
        <v>70</v>
      </c>
      <c r="AB178" s="246">
        <v>4</v>
      </c>
      <c r="AC178" s="250">
        <v>70</v>
      </c>
      <c r="AD178" s="250">
        <v>53.5</v>
      </c>
      <c r="AE178" s="239">
        <v>56.8</v>
      </c>
      <c r="AF178" s="250">
        <v>60.1</v>
      </c>
      <c r="AG178" s="239">
        <v>63.3</v>
      </c>
      <c r="AH178" s="250">
        <v>66.5</v>
      </c>
      <c r="AI178" s="250">
        <v>122.5</v>
      </c>
      <c r="AJ178" s="239">
        <v>127.95</v>
      </c>
      <c r="AK178" s="250">
        <v>133.4</v>
      </c>
      <c r="AL178" s="239">
        <v>138.80000000000001</v>
      </c>
      <c r="AM178" s="250">
        <v>144.19999999999999</v>
      </c>
      <c r="AN178" s="239">
        <v>149.6</v>
      </c>
      <c r="AO178" s="250">
        <v>155</v>
      </c>
      <c r="AP178" s="239">
        <v>160.55000000000001</v>
      </c>
      <c r="AQ178" s="250">
        <v>166.1</v>
      </c>
      <c r="AR178" s="239">
        <v>171.55</v>
      </c>
      <c r="AS178" s="250">
        <v>177</v>
      </c>
      <c r="AT178" s="246"/>
    </row>
    <row r="179" spans="1:46" x14ac:dyDescent="0.2">
      <c r="E179" s="81">
        <f>IF(G179&lt;=0,1,0)</f>
        <v>0</v>
      </c>
      <c r="F179" s="37" t="s">
        <v>340</v>
      </c>
      <c r="G179" s="231">
        <v>15</v>
      </c>
      <c r="H179" t="s">
        <v>0</v>
      </c>
      <c r="K179" s="47">
        <f t="shared" ref="K179:K180" si="5">IF(N179&lt;P179,1,0)</f>
        <v>1</v>
      </c>
      <c r="L179" s="47">
        <f>IF(N179&gt;Q179,1,0)</f>
        <v>0</v>
      </c>
      <c r="M179" s="224"/>
      <c r="N179" s="47">
        <f>G179*L174</f>
        <v>0</v>
      </c>
      <c r="O179" s="36"/>
      <c r="P179" s="44">
        <v>15</v>
      </c>
      <c r="Q179" s="65">
        <v>30</v>
      </c>
      <c r="T179" s="227"/>
      <c r="U179" s="227"/>
      <c r="V179" s="227"/>
      <c r="W179" s="125"/>
      <c r="X179" s="125"/>
      <c r="Y179" s="125"/>
      <c r="Z179" s="125"/>
      <c r="AA179" s="250">
        <v>75</v>
      </c>
      <c r="AB179" s="246">
        <v>5</v>
      </c>
      <c r="AC179" s="250">
        <v>75</v>
      </c>
      <c r="AD179" s="239">
        <v>42.4</v>
      </c>
      <c r="AE179" s="239">
        <v>45.1</v>
      </c>
      <c r="AF179" s="239">
        <v>47.8</v>
      </c>
      <c r="AG179" s="239">
        <v>50.5</v>
      </c>
      <c r="AH179" s="239">
        <v>53.2</v>
      </c>
      <c r="AI179" s="239">
        <v>101.2</v>
      </c>
      <c r="AJ179" s="239">
        <v>105.77500000000001</v>
      </c>
      <c r="AK179" s="239">
        <v>110.35</v>
      </c>
      <c r="AL179" s="239">
        <v>114.825</v>
      </c>
      <c r="AM179" s="239">
        <v>119.3</v>
      </c>
      <c r="AN179" s="239">
        <v>123.825</v>
      </c>
      <c r="AO179" s="239">
        <v>128.35</v>
      </c>
      <c r="AP179" s="239">
        <v>132.97499999999999</v>
      </c>
      <c r="AQ179" s="239">
        <v>137.6</v>
      </c>
      <c r="AR179" s="239">
        <v>142.17500000000001</v>
      </c>
      <c r="AS179" s="239">
        <v>146.75</v>
      </c>
      <c r="AT179" s="246"/>
    </row>
    <row r="180" spans="1:46" ht="13.5" x14ac:dyDescent="0.25">
      <c r="E180" s="81">
        <f>IF(G180&lt;=0,1,0)</f>
        <v>0</v>
      </c>
      <c r="F180" s="37" t="s">
        <v>341</v>
      </c>
      <c r="G180" s="229">
        <v>70</v>
      </c>
      <c r="H180" t="s">
        <v>0</v>
      </c>
      <c r="K180" s="47">
        <f t="shared" si="5"/>
        <v>1</v>
      </c>
      <c r="L180" s="47">
        <f>IF(N180&gt;Q180,1,0)</f>
        <v>0</v>
      </c>
      <c r="M180" s="224"/>
      <c r="N180" s="47">
        <f>G180*L174</f>
        <v>0</v>
      </c>
      <c r="O180" s="36"/>
      <c r="P180" s="44">
        <v>60</v>
      </c>
      <c r="Q180" s="65">
        <f>120-N177</f>
        <v>120</v>
      </c>
      <c r="T180" s="227"/>
      <c r="U180" s="227"/>
      <c r="V180" s="238"/>
      <c r="W180" s="254"/>
      <c r="X180" s="125"/>
      <c r="Y180" s="125"/>
      <c r="Z180" s="125"/>
      <c r="AA180" s="250">
        <v>80</v>
      </c>
      <c r="AB180" s="246">
        <v>6</v>
      </c>
      <c r="AC180" s="250">
        <v>80</v>
      </c>
      <c r="AD180" s="250">
        <v>31.3</v>
      </c>
      <c r="AE180" s="239">
        <v>33.4</v>
      </c>
      <c r="AF180" s="250">
        <v>35.5</v>
      </c>
      <c r="AG180" s="239">
        <v>37.700000000000003</v>
      </c>
      <c r="AH180" s="250">
        <v>39.9</v>
      </c>
      <c r="AI180" s="250">
        <v>79.900000000000006</v>
      </c>
      <c r="AJ180" s="239">
        <v>83.6</v>
      </c>
      <c r="AK180" s="250">
        <v>87.3</v>
      </c>
      <c r="AL180" s="239">
        <v>90.85</v>
      </c>
      <c r="AM180" s="250">
        <v>94.4</v>
      </c>
      <c r="AN180" s="239">
        <v>98.05</v>
      </c>
      <c r="AO180" s="250">
        <v>101.7</v>
      </c>
      <c r="AP180" s="239">
        <v>105.4</v>
      </c>
      <c r="AQ180" s="250">
        <v>109.1</v>
      </c>
      <c r="AR180" s="239">
        <v>112.8</v>
      </c>
      <c r="AS180" s="250">
        <v>116.5</v>
      </c>
      <c r="AT180" s="246"/>
    </row>
    <row r="181" spans="1:46" ht="13.5" x14ac:dyDescent="0.25">
      <c r="E181" s="81">
        <f>E175+E176+E177+E179+E180+E173+D183+D184</f>
        <v>0</v>
      </c>
      <c r="F181" s="325" t="str">
        <f>IF(E181&gt;0,"Eingabe unvollständig","")</f>
        <v/>
      </c>
      <c r="G181" s="325"/>
      <c r="H181" s="233"/>
      <c r="T181" s="227">
        <f>IF(L180=1,1,0)</f>
        <v>0</v>
      </c>
      <c r="U181" s="227">
        <f>IF(L180=2,1,0)</f>
        <v>0</v>
      </c>
      <c r="V181" s="238"/>
      <c r="W181" s="254"/>
      <c r="X181" s="125"/>
      <c r="Y181" s="125"/>
      <c r="Z181" s="125"/>
      <c r="AA181" s="250">
        <v>85</v>
      </c>
      <c r="AB181" s="246">
        <v>7</v>
      </c>
      <c r="AC181" s="250">
        <v>85</v>
      </c>
      <c r="AD181" s="239">
        <v>26.25</v>
      </c>
      <c r="AE181" s="239">
        <v>27.725000000000001</v>
      </c>
      <c r="AF181" s="239">
        <v>29.2</v>
      </c>
      <c r="AG181" s="239">
        <v>30.7</v>
      </c>
      <c r="AH181" s="239">
        <v>32.200000000000003</v>
      </c>
      <c r="AI181" s="239">
        <v>65.900000000000006</v>
      </c>
      <c r="AJ181" s="239">
        <v>69.05</v>
      </c>
      <c r="AK181" s="239">
        <v>72.2</v>
      </c>
      <c r="AL181" s="239">
        <v>75.25</v>
      </c>
      <c r="AM181" s="239">
        <v>78.3</v>
      </c>
      <c r="AN181" s="239">
        <v>81.424999999999997</v>
      </c>
      <c r="AO181" s="239">
        <v>84.55</v>
      </c>
      <c r="AP181" s="239">
        <v>87.65</v>
      </c>
      <c r="AQ181" s="239">
        <v>90.75</v>
      </c>
      <c r="AR181" s="239">
        <v>93.9</v>
      </c>
      <c r="AS181" s="239">
        <v>97.05</v>
      </c>
      <c r="AT181" s="246"/>
    </row>
    <row r="182" spans="1:46" x14ac:dyDescent="0.2">
      <c r="E182" s="232"/>
      <c r="H182" s="13"/>
      <c r="T182" s="346"/>
      <c r="U182" s="346"/>
      <c r="V182" s="346"/>
      <c r="W182" s="346"/>
      <c r="X182" s="346"/>
      <c r="Y182" s="346"/>
      <c r="Z182" s="125"/>
      <c r="AA182" s="250">
        <v>90</v>
      </c>
      <c r="AB182" s="246">
        <v>8</v>
      </c>
      <c r="AC182" s="250">
        <v>90</v>
      </c>
      <c r="AD182" s="250">
        <v>21.2</v>
      </c>
      <c r="AE182" s="239">
        <v>22.05</v>
      </c>
      <c r="AF182" s="250">
        <v>22.9</v>
      </c>
      <c r="AG182" s="239">
        <v>23.7</v>
      </c>
      <c r="AH182" s="250">
        <v>24.5</v>
      </c>
      <c r="AI182" s="250">
        <v>51.9</v>
      </c>
      <c r="AJ182" s="239">
        <v>54.5</v>
      </c>
      <c r="AK182" s="250">
        <v>57.1</v>
      </c>
      <c r="AL182" s="239">
        <v>59.65</v>
      </c>
      <c r="AM182" s="250">
        <v>62.2</v>
      </c>
      <c r="AN182" s="239">
        <v>64.8</v>
      </c>
      <c r="AO182" s="250">
        <v>67.400000000000006</v>
      </c>
      <c r="AP182" s="239">
        <v>69.900000000000006</v>
      </c>
      <c r="AQ182" s="250">
        <v>72.400000000000006</v>
      </c>
      <c r="AR182" s="239">
        <v>75</v>
      </c>
      <c r="AS182" s="250">
        <v>77.599999999999994</v>
      </c>
      <c r="AT182" s="246"/>
    </row>
    <row r="183" spans="1:46" x14ac:dyDescent="0.2">
      <c r="D183" s="26">
        <f>IF(E183="",1,0)</f>
        <v>0</v>
      </c>
      <c r="E183" s="234">
        <v>2</v>
      </c>
      <c r="F183" s="265" t="s">
        <v>342</v>
      </c>
      <c r="G183" s="236"/>
      <c r="K183" s="47">
        <f t="shared" ref="K183:K184" si="6">IF(N183&lt;P183,1,0)</f>
        <v>1</v>
      </c>
      <c r="L183" s="47">
        <f>IF(N183&gt;Q183,1,0)</f>
        <v>0</v>
      </c>
      <c r="N183" s="47">
        <f>E183*L174</f>
        <v>0</v>
      </c>
      <c r="P183" s="44">
        <v>1</v>
      </c>
      <c r="Q183" s="65">
        <v>2</v>
      </c>
      <c r="T183" s="346" t="s">
        <v>355</v>
      </c>
      <c r="U183" s="346"/>
      <c r="V183" s="346"/>
      <c r="W183" s="346"/>
      <c r="X183" s="346"/>
      <c r="Y183" s="346"/>
      <c r="Z183" s="125"/>
      <c r="AA183" s="250">
        <v>95</v>
      </c>
      <c r="AB183" s="246">
        <v>9</v>
      </c>
      <c r="AC183" s="250">
        <v>95</v>
      </c>
      <c r="AD183" s="239">
        <v>18.649999999999999</v>
      </c>
      <c r="AE183" s="239">
        <v>19.399999999999999</v>
      </c>
      <c r="AF183" s="239">
        <v>20.149999999999999</v>
      </c>
      <c r="AG183" s="239">
        <v>20.875</v>
      </c>
      <c r="AH183" s="239">
        <v>21.6</v>
      </c>
      <c r="AI183" s="239">
        <v>42.2</v>
      </c>
      <c r="AJ183" s="239">
        <v>44.424999999999997</v>
      </c>
      <c r="AK183" s="239">
        <v>46.65</v>
      </c>
      <c r="AL183" s="239">
        <v>48.85</v>
      </c>
      <c r="AM183" s="239">
        <v>51.05</v>
      </c>
      <c r="AN183" s="239">
        <v>53.3</v>
      </c>
      <c r="AO183" s="239">
        <v>55.55</v>
      </c>
      <c r="AP183" s="239">
        <v>58</v>
      </c>
      <c r="AQ183" s="239">
        <v>60.45</v>
      </c>
      <c r="AR183" s="239">
        <v>62.424999999999997</v>
      </c>
      <c r="AS183" s="239">
        <v>64.400000000000006</v>
      </c>
      <c r="AT183" s="246"/>
    </row>
    <row r="184" spans="1:46" x14ac:dyDescent="0.2">
      <c r="D184" s="26">
        <f>IF(E184="",1,0)</f>
        <v>0</v>
      </c>
      <c r="E184" s="234">
        <v>1</v>
      </c>
      <c r="F184" s="322" t="str">
        <f>VLOOKUP(E184,T188:U189,2)</f>
        <v>gewachsener Boden</v>
      </c>
      <c r="G184" s="323"/>
      <c r="K184" s="47">
        <f t="shared" si="6"/>
        <v>1</v>
      </c>
      <c r="L184" s="47">
        <f>IF(N184&gt;Q184,1,0)</f>
        <v>0</v>
      </c>
      <c r="N184" s="47">
        <f>E184*L174</f>
        <v>0</v>
      </c>
      <c r="P184" s="44">
        <v>1</v>
      </c>
      <c r="Q184" s="65">
        <v>2</v>
      </c>
      <c r="T184" s="346" t="s">
        <v>356</v>
      </c>
      <c r="U184" s="346"/>
      <c r="V184" s="346"/>
      <c r="W184" s="346"/>
      <c r="X184" s="346"/>
      <c r="Y184" s="346"/>
      <c r="Z184" s="125"/>
      <c r="AA184" s="250">
        <v>100</v>
      </c>
      <c r="AB184" s="246">
        <v>10</v>
      </c>
      <c r="AC184" s="250">
        <v>100</v>
      </c>
      <c r="AD184" s="250">
        <v>16.100000000000001</v>
      </c>
      <c r="AE184" s="239">
        <v>16.75</v>
      </c>
      <c r="AF184" s="250">
        <v>17.399999999999999</v>
      </c>
      <c r="AG184" s="239">
        <v>18.05</v>
      </c>
      <c r="AH184" s="250">
        <v>18.7</v>
      </c>
      <c r="AI184" s="250">
        <v>32.5</v>
      </c>
      <c r="AJ184" s="239">
        <v>34.35</v>
      </c>
      <c r="AK184" s="250">
        <v>36.200000000000003</v>
      </c>
      <c r="AL184" s="239">
        <v>38.049999999999997</v>
      </c>
      <c r="AM184" s="250">
        <v>39.9</v>
      </c>
      <c r="AN184" s="239">
        <v>41.8</v>
      </c>
      <c r="AO184" s="250">
        <v>43.7</v>
      </c>
      <c r="AP184" s="239">
        <v>45.1</v>
      </c>
      <c r="AQ184" s="250">
        <v>46.5</v>
      </c>
      <c r="AR184" s="239">
        <v>49.85</v>
      </c>
      <c r="AS184" s="250">
        <v>51.2</v>
      </c>
      <c r="AT184" s="246"/>
    </row>
    <row r="185" spans="1:46" x14ac:dyDescent="0.2">
      <c r="K185" s="90"/>
      <c r="L185" s="90"/>
      <c r="T185" s="346" t="s">
        <v>357</v>
      </c>
      <c r="U185" s="346"/>
      <c r="V185" s="346"/>
      <c r="W185" s="346"/>
      <c r="X185" s="346"/>
      <c r="Y185" s="346"/>
      <c r="Z185" s="125"/>
      <c r="AA185" s="250">
        <v>105</v>
      </c>
      <c r="AB185" s="246">
        <v>11</v>
      </c>
      <c r="AC185" s="250">
        <v>105</v>
      </c>
      <c r="AD185" s="239">
        <v>15.55</v>
      </c>
      <c r="AE185" s="239">
        <v>15.875</v>
      </c>
      <c r="AF185" s="239">
        <v>16.2</v>
      </c>
      <c r="AG185" s="239">
        <v>16.524999999999999</v>
      </c>
      <c r="AH185" s="239">
        <v>16.850000000000001</v>
      </c>
      <c r="AI185" s="239">
        <v>28.7</v>
      </c>
      <c r="AJ185" s="239">
        <v>30.024999999999999</v>
      </c>
      <c r="AK185" s="239">
        <v>31.35</v>
      </c>
      <c r="AL185" s="239">
        <v>32.65</v>
      </c>
      <c r="AM185" s="239">
        <v>33.950000000000003</v>
      </c>
      <c r="AN185" s="239">
        <v>35.274999999999999</v>
      </c>
      <c r="AO185" s="239">
        <v>36.6</v>
      </c>
      <c r="AP185" s="239">
        <v>37.625</v>
      </c>
      <c r="AQ185" s="239">
        <v>38.75</v>
      </c>
      <c r="AR185" s="239">
        <v>40.825000000000003</v>
      </c>
      <c r="AS185" s="239">
        <v>41.9</v>
      </c>
      <c r="AT185" s="246"/>
    </row>
    <row r="186" spans="1:46" x14ac:dyDescent="0.2">
      <c r="E186" s="314" t="s">
        <v>365</v>
      </c>
      <c r="F186" s="314"/>
      <c r="G186" s="314"/>
      <c r="T186" s="227"/>
      <c r="U186" s="227"/>
      <c r="V186" s="227"/>
      <c r="W186" s="125"/>
      <c r="X186" s="125"/>
      <c r="Y186" s="125"/>
      <c r="Z186" s="125"/>
      <c r="AA186" s="250">
        <v>110</v>
      </c>
      <c r="AB186" s="246">
        <v>12</v>
      </c>
      <c r="AC186" s="250">
        <v>110</v>
      </c>
      <c r="AD186" s="250">
        <v>15</v>
      </c>
      <c r="AE186" s="239">
        <v>15</v>
      </c>
      <c r="AF186" s="250">
        <v>15</v>
      </c>
      <c r="AG186" s="239">
        <v>15</v>
      </c>
      <c r="AH186" s="250">
        <v>15</v>
      </c>
      <c r="AI186" s="250">
        <v>24.9</v>
      </c>
      <c r="AJ186" s="239">
        <v>25.7</v>
      </c>
      <c r="AK186" s="250">
        <v>26.5</v>
      </c>
      <c r="AL186" s="239">
        <v>27.25</v>
      </c>
      <c r="AM186" s="250">
        <v>28</v>
      </c>
      <c r="AN186" s="239">
        <v>28.75</v>
      </c>
      <c r="AO186" s="250">
        <v>29.5</v>
      </c>
      <c r="AP186" s="239">
        <v>30.25</v>
      </c>
      <c r="AQ186" s="250">
        <v>31</v>
      </c>
      <c r="AR186" s="239">
        <v>31.8</v>
      </c>
      <c r="AS186" s="250">
        <v>32.6</v>
      </c>
      <c r="AT186" s="246"/>
    </row>
    <row r="187" spans="1:46" x14ac:dyDescent="0.2">
      <c r="E187" s="314" t="s">
        <v>366</v>
      </c>
      <c r="F187" s="314"/>
      <c r="G187" s="314"/>
      <c r="K187" s="275" t="e">
        <f>IF(X172&lt;0,1,0)</f>
        <v>#N/A</v>
      </c>
      <c r="L187" s="90"/>
      <c r="P187" s="90" t="s">
        <v>346</v>
      </c>
      <c r="Y187" s="125"/>
      <c r="Z187" s="125"/>
      <c r="AA187" s="250">
        <v>115</v>
      </c>
      <c r="AB187" s="246">
        <v>13</v>
      </c>
      <c r="AC187" s="250">
        <v>115</v>
      </c>
      <c r="AD187" s="239">
        <v>15</v>
      </c>
      <c r="AE187" s="239">
        <v>15</v>
      </c>
      <c r="AF187" s="239">
        <v>15</v>
      </c>
      <c r="AG187" s="239">
        <v>15</v>
      </c>
      <c r="AH187" s="239">
        <v>15</v>
      </c>
      <c r="AI187" s="239">
        <v>22.35</v>
      </c>
      <c r="AJ187" s="239">
        <v>23.074999999999999</v>
      </c>
      <c r="AK187" s="239">
        <v>23.8</v>
      </c>
      <c r="AL187" s="239">
        <v>24.5</v>
      </c>
      <c r="AM187" s="239">
        <v>25.2</v>
      </c>
      <c r="AN187" s="239">
        <v>25.9</v>
      </c>
      <c r="AO187" s="239">
        <v>26.6</v>
      </c>
      <c r="AP187" s="239">
        <v>27.274999999999999</v>
      </c>
      <c r="AQ187" s="239">
        <v>27.95</v>
      </c>
      <c r="AR187" s="239">
        <v>28.65</v>
      </c>
      <c r="AS187" s="239">
        <v>29.35</v>
      </c>
      <c r="AT187" s="246"/>
    </row>
    <row r="188" spans="1:46" x14ac:dyDescent="0.2">
      <c r="A188" s="255"/>
      <c r="B188" s="255"/>
      <c r="C188" s="255"/>
      <c r="D188" s="255"/>
      <c r="E188" s="255"/>
      <c r="F188" s="255"/>
      <c r="G188" s="255"/>
      <c r="H188" s="266"/>
      <c r="K188" s="90" t="s">
        <v>91</v>
      </c>
      <c r="N188" s="260" t="s">
        <v>37</v>
      </c>
      <c r="O188" s="262"/>
      <c r="P188" s="76">
        <f t="shared" ref="P188:P193" si="7">N175</f>
        <v>0</v>
      </c>
      <c r="Q188">
        <f t="shared" ref="Q188:Q193" si="8">N175</f>
        <v>0</v>
      </c>
      <c r="T188">
        <v>1</v>
      </c>
      <c r="U188" s="13" t="s">
        <v>354</v>
      </c>
      <c r="Y188" s="125"/>
      <c r="Z188" s="125"/>
      <c r="AA188" s="250">
        <v>120</v>
      </c>
      <c r="AB188" s="246">
        <v>14</v>
      </c>
      <c r="AC188" s="250">
        <v>120</v>
      </c>
      <c r="AD188" s="250">
        <v>15</v>
      </c>
      <c r="AE188" s="239">
        <v>15</v>
      </c>
      <c r="AF188" s="250">
        <v>15</v>
      </c>
      <c r="AG188" s="239">
        <v>15</v>
      </c>
      <c r="AH188" s="250">
        <v>15</v>
      </c>
      <c r="AI188" s="250">
        <v>19.8</v>
      </c>
      <c r="AJ188" s="239">
        <v>20.45</v>
      </c>
      <c r="AK188" s="250">
        <v>21.1</v>
      </c>
      <c r="AL188" s="239">
        <v>21.75</v>
      </c>
      <c r="AM188" s="250">
        <v>22.4</v>
      </c>
      <c r="AN188" s="239">
        <v>23.05</v>
      </c>
      <c r="AO188" s="250">
        <v>23.7</v>
      </c>
      <c r="AP188" s="239">
        <v>24.3</v>
      </c>
      <c r="AQ188" s="250">
        <v>24.9</v>
      </c>
      <c r="AR188" s="239">
        <v>25.5</v>
      </c>
      <c r="AS188" s="250">
        <v>26.1</v>
      </c>
      <c r="AT188" s="246"/>
    </row>
    <row r="189" spans="1:46" ht="15.75" x14ac:dyDescent="0.25">
      <c r="A189" s="7"/>
      <c r="B189" s="7"/>
      <c r="C189" s="7"/>
      <c r="D189" s="350" t="str">
        <f>D4</f>
        <v>Keine Gründung</v>
      </c>
      <c r="E189" s="350"/>
      <c r="F189" s="350"/>
      <c r="G189" s="350"/>
      <c r="H189" s="7"/>
      <c r="K189" s="90" t="s">
        <v>206</v>
      </c>
      <c r="N189" s="260" t="s">
        <v>36</v>
      </c>
      <c r="O189" s="261"/>
      <c r="P189" s="76">
        <f t="shared" si="7"/>
        <v>0</v>
      </c>
      <c r="Q189">
        <f t="shared" si="8"/>
        <v>0</v>
      </c>
      <c r="T189">
        <v>2</v>
      </c>
      <c r="U189" s="13" t="s">
        <v>343</v>
      </c>
      <c r="AA189" s="246"/>
      <c r="AB189" s="246"/>
      <c r="AC189" s="246"/>
      <c r="AD189" s="246"/>
      <c r="AE189" s="246"/>
      <c r="AF189" s="246"/>
      <c r="AG189" s="246"/>
      <c r="AH189" s="246"/>
      <c r="AI189" s="246"/>
      <c r="AJ189" s="246"/>
      <c r="AK189" s="246"/>
      <c r="AL189" s="246"/>
      <c r="AM189" s="246"/>
      <c r="AN189" s="246"/>
      <c r="AO189" s="246"/>
      <c r="AP189" s="246"/>
      <c r="AQ189" s="246"/>
      <c r="AR189" s="246"/>
      <c r="AS189" s="246"/>
    </row>
    <row r="190" spans="1:46" ht="16.5" thickBot="1" x14ac:dyDescent="0.3">
      <c r="A190" s="7"/>
      <c r="B190" s="7"/>
      <c r="E190" s="226"/>
      <c r="F190" s="226"/>
      <c r="G190" s="226"/>
      <c r="H190" s="2">
        <v>0</v>
      </c>
      <c r="N190" s="263" t="s">
        <v>38</v>
      </c>
      <c r="O190" s="259"/>
      <c r="P190" s="76">
        <f t="shared" si="7"/>
        <v>0</v>
      </c>
      <c r="Q190">
        <f t="shared" si="8"/>
        <v>0</v>
      </c>
      <c r="AA190" s="246"/>
      <c r="AB190" s="246"/>
      <c r="AC190" s="246"/>
      <c r="AD190" s="246"/>
      <c r="AE190" s="246"/>
      <c r="AF190" s="246"/>
      <c r="AG190" s="246"/>
      <c r="AH190" s="246"/>
      <c r="AI190" s="246"/>
      <c r="AJ190" s="246"/>
      <c r="AK190" s="246"/>
      <c r="AL190" s="246"/>
      <c r="AM190" s="246"/>
      <c r="AN190" s="246"/>
      <c r="AO190" s="246"/>
      <c r="AP190" s="246"/>
      <c r="AQ190" s="246"/>
      <c r="AR190" s="246"/>
      <c r="AS190" s="246"/>
    </row>
    <row r="191" spans="1:46" ht="13.5" thickBot="1" x14ac:dyDescent="0.25">
      <c r="D191" s="26">
        <f>IF(B4=6,1,0)</f>
        <v>0</v>
      </c>
      <c r="E191" s="331" t="s">
        <v>364</v>
      </c>
      <c r="F191" s="332"/>
      <c r="G191" s="333"/>
      <c r="N191" s="267" t="s">
        <v>358</v>
      </c>
      <c r="O191" s="259"/>
      <c r="P191" s="76">
        <f t="shared" si="7"/>
        <v>0</v>
      </c>
      <c r="Q191">
        <f t="shared" si="8"/>
        <v>0</v>
      </c>
      <c r="S191" s="51"/>
      <c r="T191" s="51"/>
      <c r="U191" s="51"/>
      <c r="V191" s="51"/>
      <c r="X191" s="125" t="s">
        <v>351</v>
      </c>
      <c r="Y191" s="125" t="s">
        <v>352</v>
      </c>
      <c r="Z191" s="125" t="s">
        <v>353</v>
      </c>
      <c r="AA191" s="246"/>
      <c r="AB191" s="246"/>
      <c r="AC191" s="246" t="s">
        <v>354</v>
      </c>
      <c r="AD191" s="246"/>
      <c r="AE191" s="246"/>
      <c r="AF191" s="246"/>
      <c r="AG191" s="246"/>
      <c r="AH191" s="246"/>
      <c r="AI191" s="246"/>
      <c r="AJ191" s="246"/>
      <c r="AK191" s="246"/>
      <c r="AL191" s="246"/>
      <c r="AM191" s="246"/>
      <c r="AN191" s="246"/>
      <c r="AO191" s="246"/>
      <c r="AP191" s="246"/>
      <c r="AQ191" s="246"/>
      <c r="AR191" s="246"/>
      <c r="AS191" s="246"/>
    </row>
    <row r="192" spans="1:46" ht="15.75" x14ac:dyDescent="0.3">
      <c r="F192" s="37" t="s">
        <v>367</v>
      </c>
      <c r="G192" s="158">
        <f>'Grabstein+Sockel'!D38</f>
        <v>0</v>
      </c>
      <c r="H192" s="13" t="s">
        <v>0</v>
      </c>
      <c r="N192" s="37" t="s">
        <v>340</v>
      </c>
      <c r="P192" s="76">
        <f t="shared" si="7"/>
        <v>0</v>
      </c>
      <c r="Q192">
        <f t="shared" si="8"/>
        <v>0</v>
      </c>
      <c r="S192" s="51"/>
      <c r="T192" s="51"/>
      <c r="U192" s="51"/>
      <c r="V192" s="51"/>
      <c r="W192" s="51"/>
      <c r="X192" s="125">
        <f>AO165</f>
        <v>0</v>
      </c>
      <c r="Y192" s="125" t="e">
        <f>AK194</f>
        <v>#N/A</v>
      </c>
      <c r="Z192" s="125" t="e">
        <f>AK171</f>
        <v>#N/A</v>
      </c>
      <c r="AA192" s="246"/>
      <c r="AB192" s="246"/>
      <c r="AC192" s="246" t="s">
        <v>61</v>
      </c>
      <c r="AD192" s="247">
        <f>P194</f>
        <v>0</v>
      </c>
      <c r="AE192" s="246">
        <f>AD192+4</f>
        <v>4</v>
      </c>
      <c r="AF192" s="246"/>
      <c r="AG192" s="246" t="e">
        <f>HLOOKUP(AD192,AD196:AS197,1)</f>
        <v>#N/A</v>
      </c>
      <c r="AH192" s="246" t="e">
        <f>HLOOKUP(AE192,AC196:AS197,1)</f>
        <v>#N/A</v>
      </c>
      <c r="AI192" s="246" t="e">
        <f>HLOOKUP(AG192,AC196:AS197,2)</f>
        <v>#N/A</v>
      </c>
      <c r="AJ192" s="246" t="e">
        <f>HLOOKUP(AH192,AC196:AS197,2)</f>
        <v>#N/A</v>
      </c>
      <c r="AK192" s="246" t="e">
        <f>INDEX(AC198:AS211,AI193,AI192)</f>
        <v>#N/A</v>
      </c>
      <c r="AL192" s="246"/>
      <c r="AM192" s="246"/>
      <c r="AN192" s="246"/>
      <c r="AO192" s="246"/>
      <c r="AP192" s="246"/>
      <c r="AQ192" s="246"/>
      <c r="AR192" s="246"/>
      <c r="AS192" s="246"/>
    </row>
    <row r="193" spans="4:45" ht="15.75" x14ac:dyDescent="0.3">
      <c r="E193" s="51"/>
      <c r="F193" s="37" t="s">
        <v>164</v>
      </c>
      <c r="G193" s="158">
        <f>'Grabstein+Sockel'!H38</f>
        <v>0</v>
      </c>
      <c r="H193" s="41" t="s">
        <v>124</v>
      </c>
      <c r="N193" s="267" t="s">
        <v>368</v>
      </c>
      <c r="P193" s="76">
        <f t="shared" si="7"/>
        <v>0</v>
      </c>
      <c r="Q193">
        <f t="shared" si="8"/>
        <v>0</v>
      </c>
      <c r="S193" s="51"/>
      <c r="T193" s="51"/>
      <c r="U193" s="51"/>
      <c r="V193" s="51"/>
      <c r="W193" s="51"/>
      <c r="X193" s="125" t="e">
        <f>IF(N204=1,Y192,Z192)</f>
        <v>#N/A</v>
      </c>
      <c r="Y193" s="125"/>
      <c r="Z193" s="125"/>
      <c r="AA193" s="246"/>
      <c r="AB193" s="246"/>
      <c r="AC193" s="246" t="s">
        <v>346</v>
      </c>
      <c r="AD193" s="247">
        <f>AH166</f>
        <v>0</v>
      </c>
      <c r="AE193" s="246">
        <f>AD193+4</f>
        <v>4</v>
      </c>
      <c r="AF193" s="246"/>
      <c r="AG193" s="246" t="e">
        <f>VLOOKUP(AD193,AA198:AB211,1)</f>
        <v>#N/A</v>
      </c>
      <c r="AH193" s="246" t="e">
        <f>VLOOKUP(AE193,AA198:AB211,1)</f>
        <v>#N/A</v>
      </c>
      <c r="AI193" s="246" t="e">
        <f>VLOOKUP(AG193,AA198:AB211,2)</f>
        <v>#N/A</v>
      </c>
      <c r="AJ193" s="246" t="e">
        <f>VLOOKUP(AH193,AA198:AB211,2)</f>
        <v>#N/A</v>
      </c>
      <c r="AK193" s="246" t="e">
        <f>INDEX(AC198:AS211,AJ193,AJ192)</f>
        <v>#N/A</v>
      </c>
      <c r="AL193" s="246"/>
      <c r="AM193" s="246"/>
      <c r="AN193" s="246"/>
      <c r="AO193" s="246"/>
      <c r="AP193" s="246"/>
      <c r="AQ193" s="246"/>
      <c r="AR193" s="246"/>
      <c r="AS193" s="246"/>
    </row>
    <row r="194" spans="4:45" ht="15.75" x14ac:dyDescent="0.3">
      <c r="E194" s="51"/>
      <c r="F194" s="1" t="s">
        <v>31</v>
      </c>
      <c r="G194" s="8">
        <f>'Grabstein+Sockel'!C35</f>
        <v>0</v>
      </c>
      <c r="H194" s="7" t="s">
        <v>12</v>
      </c>
      <c r="N194" s="271" t="s">
        <v>369</v>
      </c>
      <c r="P194" s="273">
        <f>G168</f>
        <v>0</v>
      </c>
      <c r="S194" s="51"/>
      <c r="T194" s="51"/>
      <c r="U194" s="51"/>
      <c r="V194" s="51"/>
      <c r="W194" s="51"/>
      <c r="X194" s="276" t="e">
        <f>X192-X193</f>
        <v>#N/A</v>
      </c>
      <c r="Y194" s="125"/>
      <c r="Z194" s="125"/>
      <c r="AA194" s="246"/>
      <c r="AB194" s="246"/>
      <c r="AC194" s="246"/>
      <c r="AD194" s="248"/>
      <c r="AE194" s="246"/>
      <c r="AF194" s="246"/>
      <c r="AG194" s="246"/>
      <c r="AH194" s="246"/>
      <c r="AI194" s="246"/>
      <c r="AJ194" s="246"/>
      <c r="AK194" s="249" t="e">
        <f>(AK192+AK193)/2</f>
        <v>#N/A</v>
      </c>
      <c r="AL194" s="246"/>
      <c r="AM194" s="246"/>
      <c r="AN194" s="246"/>
      <c r="AO194" s="246"/>
      <c r="AP194" s="246"/>
      <c r="AQ194" s="246"/>
      <c r="AR194" s="246"/>
      <c r="AS194" s="246"/>
    </row>
    <row r="195" spans="4:45" x14ac:dyDescent="0.2">
      <c r="H195" s="7"/>
      <c r="S195" s="51"/>
      <c r="T195" s="51"/>
      <c r="U195" s="51"/>
      <c r="V195" s="51"/>
      <c r="W195" s="51"/>
      <c r="AA195" s="246"/>
      <c r="AB195" s="246"/>
      <c r="AC195" s="246"/>
      <c r="AD195" s="246"/>
      <c r="AE195" s="246"/>
      <c r="AF195" s="246"/>
      <c r="AG195" s="246"/>
      <c r="AH195" s="246"/>
      <c r="AI195" s="246"/>
      <c r="AJ195" s="246"/>
      <c r="AK195" s="246"/>
      <c r="AL195" s="246"/>
      <c r="AM195" s="246"/>
      <c r="AN195" s="246"/>
      <c r="AO195" s="246"/>
      <c r="AP195" s="246"/>
      <c r="AQ195" s="246"/>
      <c r="AR195" s="246"/>
      <c r="AS195" s="246"/>
    </row>
    <row r="196" spans="4:45" ht="13.5" x14ac:dyDescent="0.25">
      <c r="D196" s="26">
        <f>IF(F196="",1,0)</f>
        <v>0</v>
      </c>
      <c r="E196" s="235" t="s">
        <v>112</v>
      </c>
      <c r="F196" s="327" t="s">
        <v>91</v>
      </c>
      <c r="G196" s="328"/>
      <c r="S196" s="51"/>
      <c r="T196" s="51"/>
      <c r="U196" s="51"/>
      <c r="V196" s="51"/>
      <c r="W196" s="51"/>
      <c r="AA196" s="246"/>
      <c r="AB196" s="246"/>
      <c r="AC196" s="246"/>
      <c r="AD196" s="250">
        <v>50</v>
      </c>
      <c r="AE196" s="250">
        <v>55</v>
      </c>
      <c r="AF196" s="250">
        <v>60</v>
      </c>
      <c r="AG196" s="250">
        <v>65</v>
      </c>
      <c r="AH196" s="250">
        <v>70</v>
      </c>
      <c r="AI196" s="250">
        <v>70.099999999999994</v>
      </c>
      <c r="AJ196" s="250">
        <v>75</v>
      </c>
      <c r="AK196" s="250">
        <v>80</v>
      </c>
      <c r="AL196" s="250">
        <v>85</v>
      </c>
      <c r="AM196" s="250">
        <v>90</v>
      </c>
      <c r="AN196" s="250">
        <v>95</v>
      </c>
      <c r="AO196" s="250">
        <v>100</v>
      </c>
      <c r="AP196" s="250">
        <v>105</v>
      </c>
      <c r="AQ196" s="250">
        <v>110</v>
      </c>
      <c r="AR196" s="250">
        <v>115</v>
      </c>
      <c r="AS196" s="250">
        <v>120</v>
      </c>
    </row>
    <row r="197" spans="4:45" x14ac:dyDescent="0.2">
      <c r="D197" s="26"/>
      <c r="S197" s="51"/>
      <c r="T197" s="51"/>
      <c r="U197" s="51"/>
      <c r="V197" s="51"/>
      <c r="W197" s="51"/>
      <c r="AA197" s="246"/>
      <c r="AB197" s="246"/>
      <c r="AC197" s="239">
        <v>1</v>
      </c>
      <c r="AD197" s="246">
        <v>2</v>
      </c>
      <c r="AE197" s="246">
        <v>3</v>
      </c>
      <c r="AF197" s="246">
        <v>4</v>
      </c>
      <c r="AG197" s="246">
        <v>5</v>
      </c>
      <c r="AH197" s="246">
        <v>6</v>
      </c>
      <c r="AI197" s="246">
        <v>7</v>
      </c>
      <c r="AJ197" s="246">
        <v>8</v>
      </c>
      <c r="AK197" s="246">
        <v>9</v>
      </c>
      <c r="AL197" s="246">
        <v>10</v>
      </c>
      <c r="AM197" s="246">
        <v>11</v>
      </c>
      <c r="AN197" s="246">
        <v>12</v>
      </c>
      <c r="AO197" s="246">
        <v>13</v>
      </c>
      <c r="AP197" s="246">
        <v>14</v>
      </c>
      <c r="AQ197" s="246">
        <v>15</v>
      </c>
      <c r="AR197" s="246">
        <v>16</v>
      </c>
      <c r="AS197" s="246">
        <v>17</v>
      </c>
    </row>
    <row r="198" spans="4:45" ht="13.5" thickBot="1" x14ac:dyDescent="0.25">
      <c r="D198" s="26"/>
      <c r="E198" s="13"/>
      <c r="F198" s="324" t="s">
        <v>338</v>
      </c>
      <c r="G198" s="324"/>
      <c r="K198" s="47">
        <f>(K199+L199+K200+L200+K201+K204+L204)*L198</f>
        <v>0</v>
      </c>
      <c r="L198" s="49">
        <f>D191*L4</f>
        <v>0</v>
      </c>
      <c r="N198" s="237">
        <f>G198*L198</f>
        <v>0</v>
      </c>
      <c r="O198" s="41" t="s">
        <v>275</v>
      </c>
      <c r="P198" s="41" t="s">
        <v>102</v>
      </c>
      <c r="Q198" s="13" t="s">
        <v>103</v>
      </c>
      <c r="S198" s="51"/>
      <c r="T198" s="51"/>
      <c r="U198" s="51"/>
      <c r="V198" s="51"/>
      <c r="W198" s="51"/>
      <c r="AA198" s="246"/>
      <c r="AB198" s="246">
        <v>1</v>
      </c>
      <c r="AC198" s="246"/>
      <c r="AD198" s="250">
        <v>50</v>
      </c>
      <c r="AE198" s="250">
        <v>55</v>
      </c>
      <c r="AF198" s="250">
        <v>60</v>
      </c>
      <c r="AG198" s="250">
        <v>65</v>
      </c>
      <c r="AH198" s="250">
        <v>70</v>
      </c>
      <c r="AI198" s="250">
        <v>70.099999999999994</v>
      </c>
      <c r="AJ198" s="250">
        <v>75</v>
      </c>
      <c r="AK198" s="250">
        <v>80</v>
      </c>
      <c r="AL198" s="250">
        <v>85</v>
      </c>
      <c r="AM198" s="250">
        <v>90</v>
      </c>
      <c r="AN198" s="250">
        <v>95</v>
      </c>
      <c r="AO198" s="250">
        <v>100</v>
      </c>
      <c r="AP198" s="250">
        <v>105</v>
      </c>
      <c r="AQ198" s="250">
        <v>110</v>
      </c>
      <c r="AR198" s="250">
        <v>115</v>
      </c>
      <c r="AS198" s="250">
        <v>120</v>
      </c>
    </row>
    <row r="199" spans="4:45" ht="15.75" x14ac:dyDescent="0.3">
      <c r="D199" s="26">
        <f>IF(G199="",1,0)</f>
        <v>0</v>
      </c>
      <c r="E199" s="228">
        <f>IF(G199&lt;=0,1,0)</f>
        <v>0</v>
      </c>
      <c r="F199" s="37" t="s">
        <v>359</v>
      </c>
      <c r="G199" s="229">
        <v>60</v>
      </c>
      <c r="K199" s="47">
        <f>IF(N199&lt;P199,1,0)</f>
        <v>1</v>
      </c>
      <c r="L199" s="47">
        <f>IF(N199&gt;Q199,1,0)</f>
        <v>0</v>
      </c>
      <c r="M199" s="225"/>
      <c r="N199" s="47">
        <f>G199*L198</f>
        <v>0</v>
      </c>
      <c r="O199" s="36"/>
      <c r="P199" s="44">
        <v>60</v>
      </c>
      <c r="Q199" s="65">
        <v>150</v>
      </c>
      <c r="S199" s="51"/>
      <c r="T199" s="51"/>
      <c r="U199" s="51"/>
      <c r="V199" s="51"/>
      <c r="W199" s="51"/>
      <c r="AA199" s="250">
        <v>60</v>
      </c>
      <c r="AB199" s="246">
        <v>2</v>
      </c>
      <c r="AC199" s="250">
        <v>60</v>
      </c>
      <c r="AD199" s="250">
        <v>38.5</v>
      </c>
      <c r="AE199" s="239">
        <v>40</v>
      </c>
      <c r="AF199" s="250">
        <v>41.5</v>
      </c>
      <c r="AG199" s="239">
        <v>44.45</v>
      </c>
      <c r="AH199" s="250">
        <v>47.4</v>
      </c>
      <c r="AI199" s="250">
        <v>92.9</v>
      </c>
      <c r="AJ199" s="239">
        <v>97.45</v>
      </c>
      <c r="AK199" s="250">
        <v>102</v>
      </c>
      <c r="AL199" s="239">
        <v>106.7</v>
      </c>
      <c r="AM199" s="250">
        <v>111.4</v>
      </c>
      <c r="AN199" s="239">
        <v>116.1</v>
      </c>
      <c r="AO199" s="250">
        <v>120.8</v>
      </c>
      <c r="AP199" s="239">
        <v>125.5</v>
      </c>
      <c r="AQ199" s="250">
        <v>130.19999999999999</v>
      </c>
      <c r="AR199" s="239">
        <v>135</v>
      </c>
      <c r="AS199" s="250">
        <v>139.80000000000001</v>
      </c>
    </row>
    <row r="200" spans="4:45" ht="15.75" x14ac:dyDescent="0.3">
      <c r="D200" s="26">
        <f>IF(G200="",1,0)</f>
        <v>0</v>
      </c>
      <c r="E200" s="228">
        <f>IF(G200&lt;=0,1,0)</f>
        <v>0</v>
      </c>
      <c r="F200" s="37" t="s">
        <v>360</v>
      </c>
      <c r="G200" s="229">
        <v>20</v>
      </c>
      <c r="H200" t="s">
        <v>0</v>
      </c>
      <c r="K200" s="47">
        <f>IF(N200&lt;P200,1,0)</f>
        <v>1</v>
      </c>
      <c r="L200" s="47">
        <f>IF(N200&gt;Q200,1,0)</f>
        <v>0</v>
      </c>
      <c r="M200" s="225"/>
      <c r="N200" s="47">
        <f>G200*L198</f>
        <v>0</v>
      </c>
      <c r="O200" s="36"/>
      <c r="P200" s="44">
        <v>20</v>
      </c>
      <c r="Q200" s="65">
        <v>40</v>
      </c>
      <c r="S200" s="51"/>
      <c r="T200" s="51"/>
      <c r="U200" s="51"/>
      <c r="V200" s="51"/>
      <c r="W200" s="51"/>
      <c r="AA200" s="250">
        <v>65</v>
      </c>
      <c r="AB200" s="246">
        <v>3</v>
      </c>
      <c r="AC200" s="250">
        <v>65</v>
      </c>
      <c r="AD200" s="239">
        <v>28.15</v>
      </c>
      <c r="AE200" s="239">
        <v>29.35</v>
      </c>
      <c r="AF200" s="239">
        <v>30.55</v>
      </c>
      <c r="AG200" s="239">
        <v>30.55</v>
      </c>
      <c r="AH200" s="239">
        <v>19.274999999999999</v>
      </c>
      <c r="AI200" s="239">
        <v>72.5</v>
      </c>
      <c r="AJ200" s="239">
        <v>76.25</v>
      </c>
      <c r="AK200" s="239">
        <v>80</v>
      </c>
      <c r="AL200" s="239">
        <v>83.825000000000003</v>
      </c>
      <c r="AM200" s="239">
        <v>87.65</v>
      </c>
      <c r="AN200" s="239">
        <v>91.525000000000006</v>
      </c>
      <c r="AO200" s="239">
        <v>95.4</v>
      </c>
      <c r="AP200" s="239">
        <v>99.224999999999994</v>
      </c>
      <c r="AQ200" s="239">
        <v>103.5</v>
      </c>
      <c r="AR200" s="239">
        <v>106.925</v>
      </c>
      <c r="AS200" s="239">
        <v>110.8</v>
      </c>
    </row>
    <row r="201" spans="4:45" ht="15.75" x14ac:dyDescent="0.3">
      <c r="D201" s="26">
        <f>IF(G201="",1,0)</f>
        <v>0</v>
      </c>
      <c r="E201" s="228">
        <f>IF(G201&lt;=0,1,0)</f>
        <v>0</v>
      </c>
      <c r="F201" s="37" t="s">
        <v>361</v>
      </c>
      <c r="G201" s="229">
        <v>80</v>
      </c>
      <c r="H201" t="s">
        <v>0</v>
      </c>
      <c r="K201" s="47">
        <f>IF(N201&lt;P201,1,0)</f>
        <v>1</v>
      </c>
      <c r="L201" s="47">
        <f>IF(N201&gt;Q201,1,0)</f>
        <v>0</v>
      </c>
      <c r="M201" s="225"/>
      <c r="N201" s="47">
        <f>G201*L198</f>
        <v>0</v>
      </c>
      <c r="O201" s="36"/>
      <c r="P201" s="44">
        <v>60</v>
      </c>
      <c r="Q201" s="65">
        <v>120</v>
      </c>
      <c r="T201" s="51"/>
      <c r="U201" s="51"/>
      <c r="V201" s="51"/>
      <c r="W201" s="51"/>
      <c r="AA201" s="250">
        <v>70</v>
      </c>
      <c r="AB201" s="246">
        <v>4</v>
      </c>
      <c r="AC201" s="250">
        <v>70</v>
      </c>
      <c r="AD201" s="250">
        <v>17.8</v>
      </c>
      <c r="AE201" s="239">
        <v>18.7</v>
      </c>
      <c r="AF201" s="250">
        <v>19.600000000000001</v>
      </c>
      <c r="AG201" s="239">
        <v>20.55</v>
      </c>
      <c r="AH201" s="250">
        <v>21.5</v>
      </c>
      <c r="AI201" s="250">
        <v>52.1</v>
      </c>
      <c r="AJ201" s="239">
        <v>55.05</v>
      </c>
      <c r="AK201" s="250">
        <v>58</v>
      </c>
      <c r="AL201" s="239">
        <v>60.95</v>
      </c>
      <c r="AM201" s="250">
        <v>63.9</v>
      </c>
      <c r="AN201" s="239">
        <v>66.95</v>
      </c>
      <c r="AO201" s="250">
        <v>70</v>
      </c>
      <c r="AP201" s="239">
        <v>72.95</v>
      </c>
      <c r="AQ201" s="250">
        <v>75.900000000000006</v>
      </c>
      <c r="AR201" s="239">
        <v>78.849999999999994</v>
      </c>
      <c r="AS201" s="250">
        <v>81.8</v>
      </c>
    </row>
    <row r="202" spans="4:45" x14ac:dyDescent="0.2">
      <c r="D202" s="26">
        <f>(D196+D199+D200+D201+D204)*L198</f>
        <v>0</v>
      </c>
      <c r="E202" s="232" t="e">
        <f>(E199+E200+E201+#REF!+#REF!)*#REF!</f>
        <v>#REF!</v>
      </c>
      <c r="F202" s="325" t="e">
        <f>IF(E202&gt;0,"Eingabe unvollständig","")</f>
        <v>#REF!</v>
      </c>
      <c r="G202" s="325"/>
      <c r="H202" t="s">
        <v>0</v>
      </c>
      <c r="K202" s="264"/>
      <c r="L202" s="264"/>
      <c r="M202" s="264"/>
      <c r="N202" s="264"/>
      <c r="O202" s="36"/>
      <c r="P202" s="44"/>
      <c r="Q202" s="65"/>
      <c r="T202" s="51"/>
      <c r="U202" s="51"/>
      <c r="V202" s="51"/>
      <c r="W202" s="51"/>
      <c r="AA202" s="250">
        <v>75</v>
      </c>
      <c r="AB202" s="246">
        <v>5</v>
      </c>
      <c r="AC202" s="250">
        <v>75</v>
      </c>
      <c r="AD202" s="239">
        <v>16.399999999999999</v>
      </c>
      <c r="AE202" s="239">
        <v>18.350000000000001</v>
      </c>
      <c r="AF202" s="239">
        <v>17.3</v>
      </c>
      <c r="AG202" s="239">
        <v>19.274999999999999</v>
      </c>
      <c r="AH202" s="239">
        <v>18.25</v>
      </c>
      <c r="AI202" s="239">
        <v>39.450000000000003</v>
      </c>
      <c r="AJ202" s="239">
        <v>41.924999999999997</v>
      </c>
      <c r="AK202" s="239">
        <v>44.4</v>
      </c>
      <c r="AL202" s="239">
        <v>46.85</v>
      </c>
      <c r="AM202" s="239">
        <v>49.3</v>
      </c>
      <c r="AN202" s="239">
        <v>51.825000000000003</v>
      </c>
      <c r="AO202" s="239">
        <v>54.35</v>
      </c>
      <c r="AP202" s="239">
        <v>56.825000000000003</v>
      </c>
      <c r="AQ202" s="239">
        <v>59.3</v>
      </c>
      <c r="AR202" s="239">
        <v>61.774999999999999</v>
      </c>
      <c r="AS202" s="239">
        <v>64.25</v>
      </c>
    </row>
    <row r="203" spans="4:45" x14ac:dyDescent="0.2">
      <c r="D203" s="26"/>
      <c r="H203" s="13"/>
      <c r="T203" s="51"/>
      <c r="U203" s="51"/>
      <c r="V203" s="51"/>
      <c r="W203" s="51"/>
      <c r="AA203" s="250">
        <v>80</v>
      </c>
      <c r="AB203" s="246">
        <v>6</v>
      </c>
      <c r="AC203" s="250">
        <v>80</v>
      </c>
      <c r="AD203" s="250">
        <v>15</v>
      </c>
      <c r="AE203" s="239">
        <v>18</v>
      </c>
      <c r="AF203" s="250">
        <v>15</v>
      </c>
      <c r="AG203" s="239">
        <v>18</v>
      </c>
      <c r="AH203" s="250">
        <v>15</v>
      </c>
      <c r="AI203" s="250">
        <v>26.8</v>
      </c>
      <c r="AJ203" s="239">
        <v>28.8</v>
      </c>
      <c r="AK203" s="250">
        <v>30.8</v>
      </c>
      <c r="AL203" s="239">
        <v>32.75</v>
      </c>
      <c r="AM203" s="250">
        <v>34.700000000000003</v>
      </c>
      <c r="AN203" s="239">
        <v>36.700000000000003</v>
      </c>
      <c r="AO203" s="250">
        <v>38.700000000000003</v>
      </c>
      <c r="AP203" s="239">
        <v>40.700000000000003</v>
      </c>
      <c r="AQ203" s="250">
        <v>42.7</v>
      </c>
      <c r="AR203" s="239">
        <v>44.7</v>
      </c>
      <c r="AS203" s="250">
        <v>46.7</v>
      </c>
    </row>
    <row r="204" spans="4:45" x14ac:dyDescent="0.2">
      <c r="D204" s="26">
        <f>IF(E204="",1,0)</f>
        <v>0</v>
      </c>
      <c r="E204" s="234">
        <v>2</v>
      </c>
      <c r="F204" s="322" t="str">
        <f>VLOOKUP(E204,T188:U189,2)</f>
        <v>wiederverfüllter Boden</v>
      </c>
      <c r="G204" s="323"/>
      <c r="K204" s="47">
        <f>IF(N204&lt;P204,1,0)</f>
        <v>1</v>
      </c>
      <c r="L204" s="47">
        <f>IF(N204&gt;Q204,1,0)</f>
        <v>0</v>
      </c>
      <c r="N204" s="47">
        <f>E204*L198</f>
        <v>0</v>
      </c>
      <c r="P204" s="44">
        <v>1</v>
      </c>
      <c r="Q204" s="65">
        <v>2</v>
      </c>
      <c r="AA204" s="250">
        <v>85</v>
      </c>
      <c r="AB204" s="246">
        <v>7</v>
      </c>
      <c r="AC204" s="250">
        <v>85</v>
      </c>
      <c r="AD204" s="239">
        <v>15</v>
      </c>
      <c r="AE204" s="239">
        <v>16.5</v>
      </c>
      <c r="AF204" s="239">
        <v>15</v>
      </c>
      <c r="AG204" s="239">
        <v>16.5</v>
      </c>
      <c r="AH204" s="239">
        <v>15</v>
      </c>
      <c r="AI204" s="239">
        <v>22.5</v>
      </c>
      <c r="AJ204" s="239">
        <v>23.875</v>
      </c>
      <c r="AK204" s="239">
        <v>25.25</v>
      </c>
      <c r="AL204" s="239">
        <v>26.574999999999999</v>
      </c>
      <c r="AM204" s="239">
        <v>27.9</v>
      </c>
      <c r="AN204" s="239">
        <v>29.25</v>
      </c>
      <c r="AO204" s="239">
        <v>30.6</v>
      </c>
      <c r="AP204" s="239">
        <v>31.95</v>
      </c>
      <c r="AQ204" s="239">
        <v>33.299999999999997</v>
      </c>
      <c r="AR204" s="239">
        <v>34.65</v>
      </c>
      <c r="AS204" s="239">
        <v>36</v>
      </c>
    </row>
    <row r="205" spans="4:45" x14ac:dyDescent="0.2">
      <c r="AA205" s="250">
        <v>90</v>
      </c>
      <c r="AB205" s="246">
        <v>8</v>
      </c>
      <c r="AC205" s="250">
        <v>90</v>
      </c>
      <c r="AD205" s="250">
        <v>15</v>
      </c>
      <c r="AE205" s="239">
        <v>15</v>
      </c>
      <c r="AF205" s="250">
        <v>15</v>
      </c>
      <c r="AG205" s="239">
        <v>15</v>
      </c>
      <c r="AH205" s="250">
        <v>15</v>
      </c>
      <c r="AI205" s="250">
        <v>18.2</v>
      </c>
      <c r="AJ205" s="239">
        <v>18.95</v>
      </c>
      <c r="AK205" s="250">
        <v>19.7</v>
      </c>
      <c r="AL205" s="239">
        <v>20.399999999999999</v>
      </c>
      <c r="AM205" s="250">
        <v>21.1</v>
      </c>
      <c r="AN205" s="239">
        <v>21.8</v>
      </c>
      <c r="AO205" s="250">
        <v>22.5</v>
      </c>
      <c r="AP205" s="239">
        <v>23.2</v>
      </c>
      <c r="AQ205" s="250">
        <v>23.9</v>
      </c>
      <c r="AR205" s="239">
        <v>24.6</v>
      </c>
      <c r="AS205" s="250">
        <v>25.3</v>
      </c>
    </row>
    <row r="206" spans="4:45" x14ac:dyDescent="0.2">
      <c r="E206" s="314" t="s">
        <v>365</v>
      </c>
      <c r="F206" s="314"/>
      <c r="G206" s="314"/>
      <c r="AA206" s="250">
        <v>95</v>
      </c>
      <c r="AB206" s="246">
        <v>9</v>
      </c>
      <c r="AC206" s="250">
        <v>95</v>
      </c>
      <c r="AD206" s="239">
        <v>15</v>
      </c>
      <c r="AE206" s="239">
        <v>15</v>
      </c>
      <c r="AF206" s="239">
        <v>15</v>
      </c>
      <c r="AG206" s="239">
        <v>15</v>
      </c>
      <c r="AH206" s="239">
        <v>15</v>
      </c>
      <c r="AI206" s="239">
        <v>16.600000000000001</v>
      </c>
      <c r="AJ206" s="239">
        <v>16.975000000000001</v>
      </c>
      <c r="AK206" s="239">
        <v>17.350000000000001</v>
      </c>
      <c r="AL206" s="239">
        <v>17.75</v>
      </c>
      <c r="AM206" s="239">
        <v>18.149999999999999</v>
      </c>
      <c r="AN206" s="239">
        <v>18.774999999999999</v>
      </c>
      <c r="AO206" s="239">
        <v>19.399999999999999</v>
      </c>
      <c r="AP206" s="239">
        <v>20</v>
      </c>
      <c r="AQ206" s="239">
        <v>20.6</v>
      </c>
      <c r="AR206" s="239">
        <v>21.225000000000001</v>
      </c>
      <c r="AS206" s="239">
        <v>21.85</v>
      </c>
    </row>
    <row r="207" spans="4:45" x14ac:dyDescent="0.2">
      <c r="E207" s="302" t="s">
        <v>366</v>
      </c>
      <c r="F207" s="302"/>
      <c r="G207" s="302"/>
      <c r="K207" s="274" t="e">
        <f>IF(X194&lt;0,1,0)</f>
        <v>#N/A</v>
      </c>
      <c r="AA207" s="250">
        <v>100</v>
      </c>
      <c r="AB207" s="246">
        <v>10</v>
      </c>
      <c r="AC207" s="250">
        <v>100</v>
      </c>
      <c r="AD207" s="250">
        <v>15</v>
      </c>
      <c r="AE207" s="239">
        <v>15</v>
      </c>
      <c r="AF207" s="250">
        <v>15</v>
      </c>
      <c r="AG207" s="239">
        <v>15</v>
      </c>
      <c r="AH207" s="250">
        <v>15</v>
      </c>
      <c r="AI207" s="250">
        <v>15</v>
      </c>
      <c r="AJ207" s="239">
        <v>15</v>
      </c>
      <c r="AK207" s="250">
        <v>15</v>
      </c>
      <c r="AL207" s="239">
        <v>15.1</v>
      </c>
      <c r="AM207" s="250">
        <v>15.2</v>
      </c>
      <c r="AN207" s="239">
        <v>15.75</v>
      </c>
      <c r="AO207" s="250">
        <v>16.3</v>
      </c>
      <c r="AP207" s="239">
        <v>16.8</v>
      </c>
      <c r="AQ207" s="250">
        <v>17.3</v>
      </c>
      <c r="AR207" s="239">
        <v>17.850000000000001</v>
      </c>
      <c r="AS207" s="250">
        <v>18.399999999999999</v>
      </c>
    </row>
    <row r="208" spans="4:45" x14ac:dyDescent="0.2">
      <c r="AA208" s="250">
        <v>105</v>
      </c>
      <c r="AB208" s="246">
        <v>11</v>
      </c>
      <c r="AC208" s="250">
        <v>105</v>
      </c>
      <c r="AD208" s="239">
        <v>15</v>
      </c>
      <c r="AE208" s="239">
        <v>15</v>
      </c>
      <c r="AF208" s="239">
        <v>15</v>
      </c>
      <c r="AG208" s="239">
        <v>15</v>
      </c>
      <c r="AH208" s="239">
        <v>15</v>
      </c>
      <c r="AI208" s="239">
        <v>15</v>
      </c>
      <c r="AJ208" s="239">
        <v>15</v>
      </c>
      <c r="AK208" s="239">
        <v>15</v>
      </c>
      <c r="AL208" s="239">
        <v>15.05</v>
      </c>
      <c r="AM208" s="239">
        <v>15.1</v>
      </c>
      <c r="AN208" s="239">
        <v>15.375</v>
      </c>
      <c r="AO208" s="239">
        <v>15.65</v>
      </c>
      <c r="AP208" s="239">
        <v>15.9</v>
      </c>
      <c r="AQ208" s="239">
        <v>16.149999999999999</v>
      </c>
      <c r="AR208" s="239">
        <v>16.425000000000001</v>
      </c>
      <c r="AS208" s="239">
        <v>16.7</v>
      </c>
    </row>
    <row r="209" spans="3:45" x14ac:dyDescent="0.2">
      <c r="C209" s="2" t="e">
        <f>E172+E173+E174+E177+E188+#REF!+E189+E190+E193</f>
        <v>#VALUE!</v>
      </c>
      <c r="E209" s="51"/>
      <c r="F209" s="183" t="str">
        <f>Lizenznehmer!D98</f>
        <v>11903072</v>
      </c>
      <c r="AA209" s="250">
        <v>110</v>
      </c>
      <c r="AB209" s="246">
        <v>12</v>
      </c>
      <c r="AC209" s="250">
        <v>110</v>
      </c>
      <c r="AD209" s="250">
        <v>15</v>
      </c>
      <c r="AE209" s="239">
        <v>15</v>
      </c>
      <c r="AF209" s="250">
        <v>15</v>
      </c>
      <c r="AG209" s="239">
        <v>15</v>
      </c>
      <c r="AH209" s="250">
        <v>15</v>
      </c>
      <c r="AI209" s="250">
        <v>15</v>
      </c>
      <c r="AJ209" s="239">
        <v>15</v>
      </c>
      <c r="AK209" s="250">
        <v>15</v>
      </c>
      <c r="AL209" s="239">
        <v>15</v>
      </c>
      <c r="AM209" s="250">
        <v>15</v>
      </c>
      <c r="AN209" s="239">
        <v>15</v>
      </c>
      <c r="AO209" s="250">
        <v>15</v>
      </c>
      <c r="AP209" s="239">
        <v>15</v>
      </c>
      <c r="AQ209" s="250">
        <v>15</v>
      </c>
      <c r="AR209" s="239">
        <v>15</v>
      </c>
      <c r="AS209" s="250">
        <v>15</v>
      </c>
    </row>
    <row r="210" spans="3:45" x14ac:dyDescent="0.2">
      <c r="E210" s="51"/>
      <c r="AA210" s="250">
        <v>115</v>
      </c>
      <c r="AB210" s="246">
        <v>13</v>
      </c>
      <c r="AC210" s="250">
        <v>115</v>
      </c>
      <c r="AD210" s="239">
        <v>15</v>
      </c>
      <c r="AE210" s="239">
        <v>15</v>
      </c>
      <c r="AF210" s="239">
        <v>15</v>
      </c>
      <c r="AG210" s="239">
        <v>15</v>
      </c>
      <c r="AH210" s="239">
        <v>15</v>
      </c>
      <c r="AI210" s="239">
        <v>15</v>
      </c>
      <c r="AJ210" s="239">
        <v>15</v>
      </c>
      <c r="AK210" s="239">
        <v>15</v>
      </c>
      <c r="AL210" s="239">
        <v>15</v>
      </c>
      <c r="AM210" s="239">
        <v>15</v>
      </c>
      <c r="AN210" s="239">
        <v>15</v>
      </c>
      <c r="AO210" s="239">
        <v>15</v>
      </c>
      <c r="AP210" s="239">
        <v>15</v>
      </c>
      <c r="AQ210" s="239">
        <v>15</v>
      </c>
      <c r="AR210" s="239">
        <v>15</v>
      </c>
      <c r="AS210" s="239">
        <v>15</v>
      </c>
    </row>
    <row r="211" spans="3:45" x14ac:dyDescent="0.2">
      <c r="D211" s="9" t="s">
        <v>27</v>
      </c>
      <c r="E211" s="10">
        <f>D202+E181</f>
        <v>0</v>
      </c>
      <c r="F211" s="11" t="s">
        <v>28</v>
      </c>
      <c r="G211" s="12"/>
      <c r="AA211" s="250">
        <v>120</v>
      </c>
      <c r="AB211" s="246">
        <v>14</v>
      </c>
      <c r="AC211" s="250">
        <v>120</v>
      </c>
      <c r="AD211" s="250">
        <v>15</v>
      </c>
      <c r="AE211" s="239">
        <v>15</v>
      </c>
      <c r="AF211" s="250">
        <v>15</v>
      </c>
      <c r="AG211" s="239">
        <v>15</v>
      </c>
      <c r="AH211" s="250">
        <v>15</v>
      </c>
      <c r="AI211" s="250">
        <v>15</v>
      </c>
      <c r="AJ211" s="239">
        <v>15</v>
      </c>
      <c r="AK211" s="250">
        <v>15</v>
      </c>
      <c r="AL211" s="239">
        <v>15</v>
      </c>
      <c r="AM211" s="250">
        <v>15</v>
      </c>
      <c r="AN211" s="239">
        <v>15</v>
      </c>
      <c r="AO211" s="250">
        <v>15</v>
      </c>
      <c r="AP211" s="239">
        <v>15</v>
      </c>
      <c r="AQ211" s="250">
        <v>15</v>
      </c>
      <c r="AR211" s="239">
        <v>15</v>
      </c>
      <c r="AS211" s="250">
        <v>15</v>
      </c>
    </row>
    <row r="212" spans="3:45" x14ac:dyDescent="0.2">
      <c r="F212" s="32">
        <f>Lizenznehmer!H98</f>
        <v>43541</v>
      </c>
      <c r="G212" s="334" t="s">
        <v>59</v>
      </c>
      <c r="H212" s="334"/>
    </row>
  </sheetData>
  <sheetProtection password="9453" sheet="1" objects="1" scenarios="1" selectLockedCells="1"/>
  <mergeCells count="98">
    <mergeCell ref="G212:H212"/>
    <mergeCell ref="F196:G196"/>
    <mergeCell ref="F198:G198"/>
    <mergeCell ref="F202:G202"/>
    <mergeCell ref="F204:G204"/>
    <mergeCell ref="E206:G206"/>
    <mergeCell ref="E207:G207"/>
    <mergeCell ref="T185:Y185"/>
    <mergeCell ref="E191:G191"/>
    <mergeCell ref="D189:G189"/>
    <mergeCell ref="B144:C144"/>
    <mergeCell ref="O3:U3"/>
    <mergeCell ref="E113:G113"/>
    <mergeCell ref="E76:G76"/>
    <mergeCell ref="D101:G101"/>
    <mergeCell ref="G72:H72"/>
    <mergeCell ref="B54:E54"/>
    <mergeCell ref="B55:E55"/>
    <mergeCell ref="D57:G57"/>
    <mergeCell ref="F54:G54"/>
    <mergeCell ref="F55:G55"/>
    <mergeCell ref="E59:G59"/>
    <mergeCell ref="B24:C24"/>
    <mergeCell ref="O2:U2"/>
    <mergeCell ref="U175:W175"/>
    <mergeCell ref="U176:W176"/>
    <mergeCell ref="O8:U8"/>
    <mergeCell ref="O4:U4"/>
    <mergeCell ref="O5:U5"/>
    <mergeCell ref="O6:U6"/>
    <mergeCell ref="O7:U7"/>
    <mergeCell ref="O9:U9"/>
    <mergeCell ref="U36:V36"/>
    <mergeCell ref="W36:X36"/>
    <mergeCell ref="AF87:AJ87"/>
    <mergeCell ref="T183:Y183"/>
    <mergeCell ref="T184:Y184"/>
    <mergeCell ref="T182:Y182"/>
    <mergeCell ref="AE139:AI139"/>
    <mergeCell ref="AF141:AJ141"/>
    <mergeCell ref="AE136:AI136"/>
    <mergeCell ref="AE137:AI137"/>
    <mergeCell ref="AE138:AI138"/>
    <mergeCell ref="G17:H17"/>
    <mergeCell ref="AE82:AI82"/>
    <mergeCell ref="AE83:AI83"/>
    <mergeCell ref="D18:G18"/>
    <mergeCell ref="F22:G22"/>
    <mergeCell ref="D19:G19"/>
    <mergeCell ref="B141:C141"/>
    <mergeCell ref="AE20:AG20"/>
    <mergeCell ref="AE21:AG21"/>
    <mergeCell ref="G52:H52"/>
    <mergeCell ref="G31:H31"/>
    <mergeCell ref="E47:G47"/>
    <mergeCell ref="E48:G48"/>
    <mergeCell ref="B108:E108"/>
    <mergeCell ref="B109:E109"/>
    <mergeCell ref="D111:G111"/>
    <mergeCell ref="F108:G108"/>
    <mergeCell ref="F109:G109"/>
    <mergeCell ref="AA24:AB24"/>
    <mergeCell ref="AB30:AG30"/>
    <mergeCell ref="AE84:AI84"/>
    <mergeCell ref="AE85:AI85"/>
    <mergeCell ref="B1:E1"/>
    <mergeCell ref="B2:E2"/>
    <mergeCell ref="G16:H16"/>
    <mergeCell ref="B9:D9"/>
    <mergeCell ref="B10:D10"/>
    <mergeCell ref="F6:G6"/>
    <mergeCell ref="D4:G4"/>
    <mergeCell ref="F1:G1"/>
    <mergeCell ref="F2:G2"/>
    <mergeCell ref="B11:D11"/>
    <mergeCell ref="G158:H158"/>
    <mergeCell ref="G106:H106"/>
    <mergeCell ref="AB69:AC69"/>
    <mergeCell ref="AB70:AC70"/>
    <mergeCell ref="AB71:AC71"/>
    <mergeCell ref="AB123:AC123"/>
    <mergeCell ref="AB124:AC124"/>
    <mergeCell ref="AB125:AC125"/>
    <mergeCell ref="E136:G136"/>
    <mergeCell ref="E137:G137"/>
    <mergeCell ref="E138:G138"/>
    <mergeCell ref="D165:G165"/>
    <mergeCell ref="F172:G172"/>
    <mergeCell ref="B162:E162"/>
    <mergeCell ref="F162:G162"/>
    <mergeCell ref="B163:E163"/>
    <mergeCell ref="F163:G163"/>
    <mergeCell ref="E167:G167"/>
    <mergeCell ref="F184:G184"/>
    <mergeCell ref="F174:G174"/>
    <mergeCell ref="F181:G181"/>
    <mergeCell ref="E186:G186"/>
    <mergeCell ref="E187:G187"/>
  </mergeCells>
  <phoneticPr fontId="0" type="noConversion"/>
  <conditionalFormatting sqref="G115:G123 D111:G111">
    <cfRule type="expression" dxfId="132" priority="61">
      <formula>$L$115=0</formula>
    </cfRule>
  </conditionalFormatting>
  <conditionalFormatting sqref="G11:G13 G16:H16">
    <cfRule type="expression" dxfId="131" priority="96">
      <formula>$L$10=0</formula>
    </cfRule>
  </conditionalFormatting>
  <conditionalFormatting sqref="G8:G10">
    <cfRule type="expression" dxfId="130" priority="114">
      <formula>$L$10=0</formula>
    </cfRule>
  </conditionalFormatting>
  <conditionalFormatting sqref="G27:G30 G31:H31">
    <cfRule type="expression" dxfId="129" priority="104">
      <formula>$L$26=0</formula>
    </cfRule>
  </conditionalFormatting>
  <conditionalFormatting sqref="E48:G48">
    <cfRule type="expression" dxfId="128" priority="110">
      <formula>$K$26&gt;0</formula>
    </cfRule>
  </conditionalFormatting>
  <conditionalFormatting sqref="E47:G47">
    <cfRule type="expression" dxfId="127" priority="109">
      <formula>$K$47&lt;0</formula>
    </cfRule>
  </conditionalFormatting>
  <conditionalFormatting sqref="G27">
    <cfRule type="expression" dxfId="126" priority="113">
      <formula>$E$27=1</formula>
    </cfRule>
  </conditionalFormatting>
  <conditionalFormatting sqref="G28">
    <cfRule type="expression" dxfId="125" priority="106">
      <formula>$K$28+$L$28&gt;0</formula>
    </cfRule>
    <cfRule type="expression" dxfId="124" priority="108">
      <formula>$E$28=1</formula>
    </cfRule>
  </conditionalFormatting>
  <conditionalFormatting sqref="G29">
    <cfRule type="expression" dxfId="123" priority="107">
      <formula>$E$29=1</formula>
    </cfRule>
  </conditionalFormatting>
  <conditionalFormatting sqref="G30">
    <cfRule type="expression" dxfId="122" priority="105">
      <formula>$E$30=1</formula>
    </cfRule>
  </conditionalFormatting>
  <conditionalFormatting sqref="D51:G51">
    <cfRule type="expression" dxfId="121" priority="103">
      <formula>$C$52=0</formula>
    </cfRule>
  </conditionalFormatting>
  <conditionalFormatting sqref="G11">
    <cfRule type="expression" dxfId="120" priority="101">
      <formula>$K$11+$L$11&gt;0</formula>
    </cfRule>
    <cfRule type="expression" dxfId="119" priority="115">
      <formula>$E$11=1</formula>
    </cfRule>
  </conditionalFormatting>
  <conditionalFormatting sqref="D18:G18">
    <cfRule type="expression" dxfId="118" priority="100">
      <formula>$K$10&gt;0</formula>
    </cfRule>
  </conditionalFormatting>
  <conditionalFormatting sqref="G12">
    <cfRule type="expression" dxfId="117" priority="99">
      <formula>$E$12=1</formula>
    </cfRule>
    <cfRule type="expression" dxfId="116" priority="102">
      <formula>$K$12+$L$12&gt;0</formula>
    </cfRule>
  </conditionalFormatting>
  <conditionalFormatting sqref="G13">
    <cfRule type="expression" dxfId="115" priority="97">
      <formula>$E$13=1</formula>
    </cfRule>
    <cfRule type="expression" dxfId="114" priority="98">
      <formula>$K$13+$L$13&gt;0</formula>
    </cfRule>
  </conditionalFormatting>
  <conditionalFormatting sqref="D19:G19">
    <cfRule type="expression" dxfId="113" priority="95">
      <formula>$AA$31&gt;0</formula>
    </cfRule>
  </conditionalFormatting>
  <conditionalFormatting sqref="F6:G6">
    <cfRule type="expression" dxfId="112" priority="94">
      <formula>$L$10=1</formula>
    </cfRule>
  </conditionalFormatting>
  <conditionalFormatting sqref="F22:G22">
    <cfRule type="expression" dxfId="111" priority="93">
      <formula>$L$26=1</formula>
    </cfRule>
  </conditionalFormatting>
  <conditionalFormatting sqref="E59:G59">
    <cfRule type="expression" dxfId="110" priority="92">
      <formula>$L$62=1</formula>
    </cfRule>
  </conditionalFormatting>
  <conditionalFormatting sqref="D57:G57">
    <cfRule type="expression" dxfId="109" priority="90">
      <formula>$L$62=0</formula>
    </cfRule>
  </conditionalFormatting>
  <conditionalFormatting sqref="G63:G66 G69:G71">
    <cfRule type="expression" dxfId="108" priority="69">
      <formula>$L$62=0</formula>
    </cfRule>
  </conditionalFormatting>
  <conditionalFormatting sqref="G72:H72">
    <cfRule type="expression" dxfId="107" priority="67">
      <formula>$L$62=0</formula>
    </cfRule>
    <cfRule type="expression" dxfId="106" priority="87">
      <formula>$E$72=1</formula>
    </cfRule>
  </conditionalFormatting>
  <conditionalFormatting sqref="G61:G62 G67:G68 G74">
    <cfRule type="expression" dxfId="105" priority="86">
      <formula>$L$62=0</formula>
    </cfRule>
  </conditionalFormatting>
  <conditionalFormatting sqref="G63">
    <cfRule type="expression" dxfId="104" priority="83">
      <formula>$E$63=1</formula>
    </cfRule>
    <cfRule type="expression" dxfId="103" priority="89">
      <formula>$K$63=1</formula>
    </cfRule>
  </conditionalFormatting>
  <conditionalFormatting sqref="G64">
    <cfRule type="expression" dxfId="102" priority="81">
      <formula>$E$64=1</formula>
    </cfRule>
    <cfRule type="expression" dxfId="101" priority="82">
      <formula>$K$64+$L$64&gt;0</formula>
    </cfRule>
  </conditionalFormatting>
  <conditionalFormatting sqref="G65">
    <cfRule type="expression" dxfId="100" priority="79">
      <formula>$E$65=1</formula>
    </cfRule>
    <cfRule type="expression" dxfId="99" priority="80">
      <formula>$K$65+$L$65&gt;0</formula>
    </cfRule>
  </conditionalFormatting>
  <conditionalFormatting sqref="G66">
    <cfRule type="expression" dxfId="98" priority="77">
      <formula>$E$66=1</formula>
    </cfRule>
    <cfRule type="expression" dxfId="97" priority="78">
      <formula>$K$66+$L$66&gt;0</formula>
    </cfRule>
  </conditionalFormatting>
  <conditionalFormatting sqref="G68">
    <cfRule type="expression" dxfId="96" priority="85">
      <formula>$K$68&gt;0</formula>
    </cfRule>
  </conditionalFormatting>
  <conditionalFormatting sqref="D101:G101">
    <cfRule type="expression" dxfId="95" priority="74">
      <formula>$AH$80&gt;0</formula>
    </cfRule>
  </conditionalFormatting>
  <conditionalFormatting sqref="G69">
    <cfRule type="expression" dxfId="94" priority="73">
      <formula>$E$69=1</formula>
    </cfRule>
    <cfRule type="expression" dxfId="93" priority="88">
      <formula>$K$69+$L$69&gt;0</formula>
    </cfRule>
  </conditionalFormatting>
  <conditionalFormatting sqref="G70">
    <cfRule type="expression" dxfId="92" priority="72">
      <formula>$E$70=1</formula>
    </cfRule>
    <cfRule type="expression" dxfId="91" priority="76">
      <formula>$K$70+$L$70&gt;0</formula>
    </cfRule>
  </conditionalFormatting>
  <conditionalFormatting sqref="G71">
    <cfRule type="expression" dxfId="90" priority="70">
      <formula>$E$71=1</formula>
    </cfRule>
    <cfRule type="expression" dxfId="89" priority="71">
      <formula>$K$71+$L$71&gt;0</formula>
    </cfRule>
  </conditionalFormatting>
  <conditionalFormatting sqref="G118">
    <cfRule type="expression" dxfId="88" priority="66">
      <formula>$K$118+$L$119&gt;0</formula>
    </cfRule>
  </conditionalFormatting>
  <conditionalFormatting sqref="G119">
    <cfRule type="expression" dxfId="87" priority="119">
      <formula>$K$119+$L$119&gt;0</formula>
    </cfRule>
  </conditionalFormatting>
  <conditionalFormatting sqref="G120">
    <cfRule type="expression" dxfId="86" priority="64">
      <formula>$K$120+$L$120&gt;0</formula>
    </cfRule>
  </conditionalFormatting>
  <conditionalFormatting sqref="G121">
    <cfRule type="expression" dxfId="85" priority="65">
      <formula>$K$121+$L$121&gt;0</formula>
    </cfRule>
  </conditionalFormatting>
  <conditionalFormatting sqref="G122">
    <cfRule type="expression" dxfId="84" priority="63">
      <formula>$K$122+$L$122&gt;0</formula>
    </cfRule>
  </conditionalFormatting>
  <conditionalFormatting sqref="G123">
    <cfRule type="expression" dxfId="83" priority="62">
      <formula>$K$123+$L$123&gt;0</formula>
    </cfRule>
  </conditionalFormatting>
  <conditionalFormatting sqref="E137:G137">
    <cfRule type="expression" dxfId="82" priority="60">
      <formula>$K$115&gt;0</formula>
    </cfRule>
  </conditionalFormatting>
  <conditionalFormatting sqref="E138:G138">
    <cfRule type="expression" dxfId="81" priority="59">
      <formula>$AH$134&gt;0</formula>
    </cfRule>
  </conditionalFormatting>
  <conditionalFormatting sqref="F172:G172 G175:G177 G179:G180 E183:E184">
    <cfRule type="expression" dxfId="80" priority="11">
      <formula>$L$174=0</formula>
    </cfRule>
  </conditionalFormatting>
  <conditionalFormatting sqref="G169:G170 G178 D165:G165 F183 F184:G184">
    <cfRule type="expression" dxfId="79" priority="14">
      <formula>$L$174=0</formula>
    </cfRule>
  </conditionalFormatting>
  <conditionalFormatting sqref="E167:G167">
    <cfRule type="expression" dxfId="78" priority="51">
      <formula>$L$174=1</formula>
    </cfRule>
  </conditionalFormatting>
  <conditionalFormatting sqref="D105:G105">
    <cfRule type="expression" dxfId="77" priority="50">
      <formula>$K$62=0</formula>
    </cfRule>
  </conditionalFormatting>
  <conditionalFormatting sqref="G175">
    <cfRule type="expression" dxfId="76" priority="40">
      <formula>$E$175=1</formula>
    </cfRule>
    <cfRule type="expression" dxfId="75" priority="58">
      <formula>$K$175+$L$175&gt;0</formula>
    </cfRule>
  </conditionalFormatting>
  <conditionalFormatting sqref="G176">
    <cfRule type="expression" dxfId="74" priority="38">
      <formula>$E$176=1</formula>
    </cfRule>
    <cfRule type="expression" dxfId="73" priority="39">
      <formula>$K$176+$L$176&gt;0</formula>
    </cfRule>
  </conditionalFormatting>
  <conditionalFormatting sqref="G177">
    <cfRule type="expression" dxfId="72" priority="36">
      <formula>$E$177=1</formula>
    </cfRule>
    <cfRule type="expression" dxfId="71" priority="37">
      <formula>$K$177+$L$177&gt;0</formula>
    </cfRule>
  </conditionalFormatting>
  <conditionalFormatting sqref="G179">
    <cfRule type="expression" dxfId="70" priority="34">
      <formula>$E$179=1</formula>
    </cfRule>
    <cfRule type="expression" dxfId="69" priority="35">
      <formula>$K$179+$L$179&gt;0</formula>
    </cfRule>
  </conditionalFormatting>
  <conditionalFormatting sqref="G180">
    <cfRule type="expression" dxfId="68" priority="32">
      <formula>$E$180=1</formula>
    </cfRule>
    <cfRule type="expression" dxfId="67" priority="33">
      <formula>$K$180+$L$180&gt;0</formula>
    </cfRule>
  </conditionalFormatting>
  <conditionalFormatting sqref="D211:G211">
    <cfRule type="expression" dxfId="66" priority="28">
      <formula>$E$211=0</formula>
    </cfRule>
  </conditionalFormatting>
  <conditionalFormatting sqref="E183">
    <cfRule type="expression" dxfId="65" priority="27">
      <formula>$D$183=1</formula>
    </cfRule>
    <cfRule type="expression" dxfId="64" priority="31">
      <formula>$K$183+$L$183&gt;0</formula>
    </cfRule>
  </conditionalFormatting>
  <conditionalFormatting sqref="E186:G186">
    <cfRule type="expression" dxfId="63" priority="25">
      <formula>$K$174&gt;0</formula>
    </cfRule>
  </conditionalFormatting>
  <conditionalFormatting sqref="F204:G204">
    <cfRule type="expression" dxfId="62" priority="15">
      <formula>$D$204=1</formula>
    </cfRule>
  </conditionalFormatting>
  <conditionalFormatting sqref="F184:G184">
    <cfRule type="expression" dxfId="61" priority="57">
      <formula>$D$184=1</formula>
    </cfRule>
  </conditionalFormatting>
  <conditionalFormatting sqref="E184">
    <cfRule type="expression" dxfId="60" priority="13">
      <formula>$D$184=1</formula>
    </cfRule>
    <cfRule type="expression" dxfId="59" priority="26">
      <formula>$K$184+$L$184&gt;0</formula>
    </cfRule>
  </conditionalFormatting>
  <conditionalFormatting sqref="F172:G172">
    <cfRule type="expression" dxfId="58" priority="12">
      <formula>$E$173=1</formula>
    </cfRule>
  </conditionalFormatting>
  <conditionalFormatting sqref="E191:G191">
    <cfRule type="expression" dxfId="57" priority="361">
      <formula>$L$198=1</formula>
    </cfRule>
  </conditionalFormatting>
  <conditionalFormatting sqref="D189:G189">
    <cfRule type="expression" dxfId="56" priority="362">
      <formula>$L$198=0</formula>
    </cfRule>
  </conditionalFormatting>
  <conditionalFormatting sqref="G193:G194">
    <cfRule type="expression" dxfId="55" priority="363">
      <formula>$L$198=0</formula>
    </cfRule>
  </conditionalFormatting>
  <conditionalFormatting sqref="F196:G196">
    <cfRule type="expression" dxfId="54" priority="364">
      <formula>$L$198=0</formula>
    </cfRule>
    <cfRule type="expression" dxfId="53" priority="365">
      <formula>$D$196=1</formula>
    </cfRule>
  </conditionalFormatting>
  <conditionalFormatting sqref="G199:G201 E204">
    <cfRule type="expression" dxfId="52" priority="366">
      <formula>$L$198=0</formula>
    </cfRule>
  </conditionalFormatting>
  <conditionalFormatting sqref="G199">
    <cfRule type="expression" dxfId="51" priority="383">
      <formula>$D$199=1</formula>
    </cfRule>
    <cfRule type="expression" dxfId="50" priority="384">
      <formula>$K$199+$L$199&gt;0</formula>
    </cfRule>
  </conditionalFormatting>
  <conditionalFormatting sqref="G200">
    <cfRule type="expression" dxfId="49" priority="385">
      <formula>$D$200=1</formula>
    </cfRule>
    <cfRule type="expression" dxfId="48" priority="386">
      <formula>$K$200+$L$200&gt;0</formula>
    </cfRule>
  </conditionalFormatting>
  <conditionalFormatting sqref="G201">
    <cfRule type="expression" dxfId="47" priority="387">
      <formula>$D$201=1</formula>
    </cfRule>
    <cfRule type="expression" dxfId="46" priority="388">
      <formula>$K$201+$L$201&gt;0</formula>
    </cfRule>
  </conditionalFormatting>
  <conditionalFormatting sqref="E204">
    <cfRule type="expression" dxfId="45" priority="398">
      <formula>$D$204=1</formula>
    </cfRule>
    <cfRule type="expression" dxfId="44" priority="399">
      <formula>$K$204+$L$204&gt;0</formula>
    </cfRule>
  </conditionalFormatting>
  <conditionalFormatting sqref="E206:G206">
    <cfRule type="expression" dxfId="43" priority="9">
      <formula>$K$198&gt;0</formula>
    </cfRule>
  </conditionalFormatting>
  <conditionalFormatting sqref="G192">
    <cfRule type="expression" dxfId="42" priority="8">
      <formula>$L$198=0</formula>
    </cfRule>
  </conditionalFormatting>
  <conditionalFormatting sqref="G168">
    <cfRule type="expression" dxfId="41" priority="7">
      <formula>$L$174=0</formula>
    </cfRule>
  </conditionalFormatting>
  <conditionalFormatting sqref="G24">
    <cfRule type="expression" dxfId="40" priority="6">
      <formula>$L$26=0</formula>
    </cfRule>
  </conditionalFormatting>
  <conditionalFormatting sqref="G25">
    <cfRule type="expression" dxfId="39" priority="5">
      <formula>$L$26=0</formula>
    </cfRule>
  </conditionalFormatting>
  <conditionalFormatting sqref="E187:G187">
    <cfRule type="expression" dxfId="38" priority="3">
      <formula>$L$174=0</formula>
    </cfRule>
    <cfRule type="expression" dxfId="37" priority="4">
      <formula>$K$187=1</formula>
    </cfRule>
  </conditionalFormatting>
  <conditionalFormatting sqref="E207:G207">
    <cfRule type="expression" dxfId="36" priority="2">
      <formula>$K$207=1</formula>
    </cfRule>
    <cfRule type="expression" dxfId="35" priority="1">
      <formula>$L$198=0</formula>
    </cfRule>
  </conditionalFormatting>
  <dataValidations xWindow="606" yWindow="553" count="18">
    <dataValidation type="list" errorStyle="warning" allowBlank="1" showInputMessage="1" showErrorMessage="1" errorTitle="Wert" error="nicht zulässig" promptTitle="Bodenbeschaffenheit" prompt="1 = gewachsener Boden_x000a_2 = wierverfüllter Boden" sqref="E204 E184">
      <formula1>$T$188:$T$189</formula1>
    </dataValidation>
    <dataValidation allowBlank="1" showInputMessage="1" showErrorMessage="1" errorTitle="Höhe" error="Wert nicht zugelassen." promptTitle="Höhe:" prompt="Balkenhöhe eingeben." sqref="G201"/>
    <dataValidation type="whole" allowBlank="1" showInputMessage="1" showErrorMessage="1" errorTitle="Breite" error="Wert nicht zugelassen" promptTitle="Breite" prompt="Balkenbreite eingeben." sqref="G200">
      <formula1>20</formula1>
      <formula2>50</formula2>
    </dataValidation>
    <dataValidation type="whole" allowBlank="1" showInputMessage="1" showErrorMessage="1" errorTitle="Länge" error="Wert nicht zugelassen" promptTitle="Länge:" prompt="Balkenlänge eingeben." sqref="G199 G175">
      <formula1>30</formula1>
      <formula2>250</formula2>
    </dataValidation>
    <dataValidation type="list" errorStyle="information" allowBlank="1" showInputMessage="1" showErrorMessage="1" errorTitle="Betonfestigkeitsklasse" error="Wert nicht zugelassen" promptTitle="Betonfestigkeitsklasse" prompt="Beton auswählen" sqref="F196:G196 F172:G172">
      <formula1>$K$188:$K$189</formula1>
    </dataValidation>
    <dataValidation type="list" errorStyle="warning" allowBlank="1" showInputMessage="1" showErrorMessage="1" errorTitle="Wert" error="nicht zulässig" promptTitle="Erdspies" prompt="Anzahl der Erdspiese eingeben" sqref="E183">
      <formula1>$T$188:$T$189</formula1>
    </dataValidation>
    <dataValidation allowBlank="1" showInputMessage="1" showErrorMessage="1" promptTitle="Durchmesser" prompt="Spiesdurchmesser wählen." sqref="G179"/>
    <dataValidation type="whole" allowBlank="1" showInputMessage="1" showErrorMessage="1" errorTitle="Spieslänge" error="Wert nicht zugelassen_x000a_" promptTitle="Spieslänge" prompt="Spieslänge + Balkenhöhe = HF" sqref="G180">
      <formula1>40</formula1>
      <formula2>130</formula2>
    </dataValidation>
    <dataValidation type="list" allowBlank="1" showInputMessage="1" showErrorMessage="1" sqref="G31:H31">
      <formula1>$K$34:$K$35</formula1>
    </dataValidation>
    <dataValidation allowBlank="1" showInputMessage="1" showErrorMessage="1" prompt="Pfahllänge bis zur Grabsohle." sqref="G28"/>
    <dataValidation type="list" allowBlank="1" showInputMessage="1" showErrorMessage="1" error="Eingabewert nicht zugelassen." prompt="nur zwei Pfahldurch- _x000a_messer zugelassen." sqref="G27">
      <formula1>$O$35:$O$36</formula1>
    </dataValidation>
    <dataValidation type="list" allowBlank="1" showInputMessage="1" showErrorMessage="1" error="Eingabewert nicht zugelassen." prompt="Bewehrungs-_x000a_durchmesser_x000a_eingeben." sqref="G29">
      <formula1>$A$46:$A$49</formula1>
    </dataValidation>
    <dataValidation type="list" allowBlank="1" showInputMessage="1" showErrorMessage="1" sqref="G30">
      <formula1>$O$34:$O$35</formula1>
    </dataValidation>
    <dataValidation type="list" allowBlank="1" showInputMessage="1" showErrorMessage="1" sqref="W19 G16:H16">
      <formula1>$Q$15:$Q$17</formula1>
    </dataValidation>
    <dataValidation type="list" allowBlank="1" showInputMessage="1" showErrorMessage="1" prompt="Betongüte wählen" sqref="G72:H72">
      <formula1>$L$76:$L$77</formula1>
    </dataValidation>
    <dataValidation type="list" allowBlank="1" showInputMessage="1" showErrorMessage="1" error="Wert ist nicht zulässig." prompt="0 = Kreine Gründung_x000a_1 = Einzelfundament_x000a_2 = Pfahlgründung_x000a_3 = Fundamentrahmen_x000a_4 = Tragende Einfassung_x000a_5 = Erspies_x000a_6 = Platteneinspannung_x000a_7 = alternative Gründung_x000a_" sqref="B4">
      <formula1>$N$2:$N$9</formula1>
    </dataValidation>
    <dataValidation allowBlank="1" showInputMessage="1" showErrorMessage="1" errorTitle="Breite" error="Wert nicht zugelassen" promptTitle="Breite" prompt="Balkenbreite eingeben." sqref="G176"/>
    <dataValidation allowBlank="1" showInputMessage="1" showErrorMessage="1" errorTitle="Höhe" error="Wert nicht zugelassen." promptTitle="Höhe:" prompt="Balkenhöhe eingeben." sqref="G177"/>
  </dataValidations>
  <hyperlinks>
    <hyperlink ref="G52" r:id="rId1"/>
    <hyperlink ref="G106" r:id="rId2"/>
    <hyperlink ref="G158" r:id="rId3"/>
    <hyperlink ref="G212" r:id="rId4"/>
  </hyperlinks>
  <pageMargins left="0.78740157499999996" right="0.78740157499999996" top="0.984251969" bottom="0.984251969" header="0.4921259845" footer="0.4921259845"/>
  <pageSetup paperSize="9" orientation="portrait" horizontalDpi="1200" verticalDpi="1200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13"/>
  </sheetPr>
  <dimension ref="A1:AW62"/>
  <sheetViews>
    <sheetView showGridLines="0" zoomScale="145" zoomScaleNormal="145" workbookViewId="0">
      <selection activeCell="AZ11" sqref="AZ11"/>
    </sheetView>
  </sheetViews>
  <sheetFormatPr baseColWidth="10" defaultRowHeight="12.75" x14ac:dyDescent="0.2"/>
  <cols>
    <col min="1" max="1" width="8.42578125" style="51" customWidth="1"/>
    <col min="3" max="3" width="20" customWidth="1"/>
    <col min="4" max="4" width="5.7109375" customWidth="1"/>
    <col min="5" max="5" width="5.140625" customWidth="1"/>
    <col min="6" max="6" width="8.7109375" customWidth="1"/>
    <col min="7" max="7" width="18.5703125" customWidth="1"/>
    <col min="8" max="8" width="7.140625" style="51" customWidth="1"/>
    <col min="9" max="9" width="4.7109375" customWidth="1"/>
    <col min="10" max="14" width="4.7109375" hidden="1" customWidth="1"/>
    <col min="15" max="15" width="16.7109375" hidden="1" customWidth="1"/>
    <col min="16" max="23" width="4.7109375" hidden="1" customWidth="1"/>
    <col min="24" max="49" width="11.42578125" hidden="1" customWidth="1"/>
    <col min="50" max="50" width="0" hidden="1" customWidth="1"/>
  </cols>
  <sheetData>
    <row r="1" spans="1:19" x14ac:dyDescent="0.2">
      <c r="A1" s="305" t="str">
        <f>Lizenznehmer!A100</f>
        <v>Friedhofsverwaltung</v>
      </c>
      <c r="B1" s="305"/>
      <c r="C1" s="305"/>
      <c r="D1" s="305"/>
      <c r="E1" s="305"/>
      <c r="F1" s="305"/>
      <c r="G1" s="329" t="str">
        <f>Lizenznehmer!J100</f>
        <v>Tel.: 06074 911360</v>
      </c>
      <c r="H1" s="329"/>
    </row>
    <row r="2" spans="1:19" ht="13.5" thickBot="1" x14ac:dyDescent="0.25">
      <c r="A2" s="374" t="str">
        <f>Lizenznehmer!A101</f>
        <v>63322 Rödermark, Dieburger Straße 13-17</v>
      </c>
      <c r="B2" s="374"/>
      <c r="C2" s="374"/>
      <c r="D2" s="374"/>
      <c r="E2" s="374"/>
      <c r="F2" s="374"/>
      <c r="G2" s="303" t="str">
        <f>Lizenznehmer!J101</f>
        <v>Fax: 06074 91 11 360</v>
      </c>
      <c r="H2" s="330"/>
    </row>
    <row r="3" spans="1:19" ht="13.5" thickTop="1" x14ac:dyDescent="0.2">
      <c r="A3" s="26">
        <f>'Grabstein+Sockel'!D4</f>
        <v>0</v>
      </c>
      <c r="B3" s="2">
        <f>'Grabstein+Sockel'!D30</f>
        <v>1</v>
      </c>
      <c r="C3" s="2">
        <f>'Grabstein+Sockel'!H29</f>
        <v>0</v>
      </c>
      <c r="D3" s="2">
        <f>'Grabstein+Sockel'!H18</f>
        <v>20</v>
      </c>
      <c r="E3" s="2">
        <f>'Grabstein+Sockel'!H22</f>
        <v>20</v>
      </c>
      <c r="F3" s="2">
        <f>'Grabstein+Sockel'!H26</f>
        <v>10</v>
      </c>
      <c r="G3" s="2"/>
    </row>
    <row r="4" spans="1:19" ht="24" thickBot="1" x14ac:dyDescent="0.4">
      <c r="B4" s="2">
        <f>Einfassung!D36</f>
        <v>0</v>
      </c>
      <c r="C4" s="375" t="s">
        <v>32</v>
      </c>
      <c r="D4" s="375"/>
      <c r="E4" s="375"/>
      <c r="F4" s="375"/>
      <c r="G4" s="2" t="e">
        <f>#REF!</f>
        <v>#REF!</v>
      </c>
      <c r="J4" s="176">
        <f>'Grabstein+Sockel'!L4</f>
        <v>0</v>
      </c>
      <c r="K4">
        <f>'Grabstein+Sockel'!H38</f>
        <v>0</v>
      </c>
    </row>
    <row r="5" spans="1:19" ht="23.25" customHeight="1" thickTop="1" thickBot="1" x14ac:dyDescent="0.25">
      <c r="B5" s="376" t="str">
        <f>IF(K4=500,"Abnahmeprüfung erforderlich","Keine Abnahmeprüfung erforderlich")</f>
        <v>Keine Abnahmeprüfung erforderlich</v>
      </c>
      <c r="C5" s="377"/>
      <c r="D5" s="377"/>
      <c r="E5" s="377"/>
      <c r="F5" s="37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ht="9.9499999999999993" customHeight="1" thickTop="1" x14ac:dyDescent="0.2">
      <c r="G6" s="19" t="s">
        <v>59</v>
      </c>
    </row>
    <row r="7" spans="1:19" s="17" customFormat="1" ht="15.75" x14ac:dyDescent="0.25">
      <c r="A7" s="129" t="s">
        <v>35</v>
      </c>
      <c r="B7" s="15" t="s">
        <v>33</v>
      </c>
      <c r="C7" s="15"/>
      <c r="D7" s="3" t="s">
        <v>34</v>
      </c>
      <c r="E7" s="16">
        <f>A3</f>
        <v>0</v>
      </c>
      <c r="F7" s="3" t="s">
        <v>48</v>
      </c>
      <c r="G7" s="23" t="str">
        <f>Lizenznehmer!D98</f>
        <v>11903072</v>
      </c>
      <c r="H7" s="127"/>
      <c r="J7" s="128">
        <f>'Grabstein+Sockel'!L4</f>
        <v>0</v>
      </c>
    </row>
    <row r="8" spans="1:19" s="17" customFormat="1" ht="15" x14ac:dyDescent="0.2">
      <c r="A8" s="127"/>
      <c r="C8" s="361" t="str">
        <f>IF(R9&gt;0,J9," ")</f>
        <v xml:space="preserve"> </v>
      </c>
      <c r="D8" s="362"/>
      <c r="E8" s="362"/>
      <c r="F8" s="362"/>
      <c r="G8" s="363"/>
      <c r="H8" s="127"/>
      <c r="J8" s="354" t="s">
        <v>210</v>
      </c>
      <c r="K8" s="354"/>
      <c r="L8" s="354"/>
      <c r="M8"/>
      <c r="N8"/>
      <c r="O8"/>
      <c r="P8"/>
    </row>
    <row r="9" spans="1:19" s="17" customFormat="1" ht="15" x14ac:dyDescent="0.2">
      <c r="A9" s="127"/>
      <c r="C9" s="355" t="str">
        <f>IF(R10&gt;0,J10," ")</f>
        <v xml:space="preserve"> </v>
      </c>
      <c r="D9" s="356"/>
      <c r="E9" s="356"/>
      <c r="F9" s="356"/>
      <c r="G9" s="357"/>
      <c r="H9" s="127"/>
      <c r="J9" s="281" t="s">
        <v>215</v>
      </c>
      <c r="K9" s="281"/>
      <c r="L9" s="281"/>
      <c r="M9" s="281"/>
      <c r="N9" s="281"/>
      <c r="O9" s="281"/>
      <c r="P9" s="135"/>
      <c r="R9" s="167">
        <f>'Grabstein+Sockel'!AW7</f>
        <v>0</v>
      </c>
    </row>
    <row r="10" spans="1:19" s="17" customFormat="1" ht="15" x14ac:dyDescent="0.2">
      <c r="A10" s="127"/>
      <c r="C10" s="355" t="str">
        <f>IF(R11&gt;0,J11," ")</f>
        <v xml:space="preserve"> </v>
      </c>
      <c r="D10" s="356"/>
      <c r="E10" s="356"/>
      <c r="F10" s="356"/>
      <c r="G10" s="357"/>
      <c r="H10" s="127"/>
      <c r="J10" s="281" t="s">
        <v>377</v>
      </c>
      <c r="K10" s="281"/>
      <c r="L10" s="281"/>
      <c r="M10" s="281"/>
      <c r="N10" s="281"/>
      <c r="O10" s="281"/>
      <c r="P10" s="135"/>
      <c r="R10" s="167">
        <f>'Grabstein+Sockel'!AW8</f>
        <v>0</v>
      </c>
    </row>
    <row r="11" spans="1:19" s="17" customFormat="1" ht="15" x14ac:dyDescent="0.2">
      <c r="A11" s="127"/>
      <c r="C11" s="364" t="str">
        <f>IF(R12&gt;0,J12," ")</f>
        <v xml:space="preserve"> </v>
      </c>
      <c r="D11" s="365"/>
      <c r="E11" s="365"/>
      <c r="F11" s="365"/>
      <c r="G11" s="366"/>
      <c r="H11" s="127"/>
      <c r="J11" s="281" t="s">
        <v>378</v>
      </c>
      <c r="K11" s="281"/>
      <c r="L11" s="281"/>
      <c r="M11" s="281"/>
      <c r="N11" s="281"/>
      <c r="O11" s="281"/>
      <c r="P11" s="135"/>
      <c r="R11" s="167">
        <f>'Grabstein+Sockel'!AW9</f>
        <v>0</v>
      </c>
    </row>
    <row r="12" spans="1:19" s="17" customFormat="1" ht="9.9499999999999993" customHeight="1" x14ac:dyDescent="0.2">
      <c r="A12" s="127"/>
      <c r="C12" s="18"/>
      <c r="D12" s="18"/>
      <c r="E12" s="18"/>
      <c r="F12" s="18"/>
      <c r="G12" s="18"/>
      <c r="H12" s="127"/>
      <c r="J12" s="281" t="s">
        <v>379</v>
      </c>
      <c r="K12" s="281"/>
      <c r="L12" s="281"/>
      <c r="M12" s="281"/>
      <c r="N12" s="281"/>
      <c r="O12" s="281"/>
      <c r="P12" s="135"/>
      <c r="R12" s="167">
        <f>'Grabstein+Sockel'!AW10</f>
        <v>0</v>
      </c>
    </row>
    <row r="13" spans="1:19" s="17" customFormat="1" ht="15.75" x14ac:dyDescent="0.25">
      <c r="A13" s="130" t="s">
        <v>35</v>
      </c>
      <c r="B13" s="15" t="s">
        <v>18</v>
      </c>
      <c r="H13" s="127"/>
      <c r="J13" s="128">
        <f>'Grabstein+Sockel'!L30</f>
        <v>0</v>
      </c>
    </row>
    <row r="14" spans="1:19" s="17" customFormat="1" ht="15" x14ac:dyDescent="0.2">
      <c r="A14" s="127"/>
      <c r="C14" s="361" t="str">
        <f>IF(R14&gt;0,J14," ")</f>
        <v xml:space="preserve"> </v>
      </c>
      <c r="D14" s="362"/>
      <c r="E14" s="362"/>
      <c r="F14" s="362"/>
      <c r="G14" s="363"/>
      <c r="H14" s="127"/>
      <c r="J14" s="281" t="s">
        <v>226</v>
      </c>
      <c r="K14" s="281"/>
      <c r="L14" s="281"/>
      <c r="M14" s="281"/>
      <c r="N14" s="281"/>
      <c r="O14" s="281"/>
      <c r="P14" s="135"/>
      <c r="R14" s="167">
        <f>'Grabstein+Sockel'!AW29</f>
        <v>0</v>
      </c>
    </row>
    <row r="15" spans="1:19" s="17" customFormat="1" ht="15" x14ac:dyDescent="0.2">
      <c r="A15" s="127"/>
      <c r="C15" s="355" t="str">
        <f>IF(R15&gt;0,J15," ")</f>
        <v xml:space="preserve"> </v>
      </c>
      <c r="D15" s="356"/>
      <c r="E15" s="356"/>
      <c r="F15" s="356"/>
      <c r="G15" s="357"/>
      <c r="H15" s="127"/>
      <c r="J15" s="281" t="s">
        <v>376</v>
      </c>
      <c r="K15" s="281"/>
      <c r="L15" s="281"/>
      <c r="M15" s="281"/>
      <c r="N15" s="281"/>
      <c r="O15" s="281"/>
      <c r="P15" s="135"/>
      <c r="R15" s="167">
        <f>'Grabstein+Sockel'!AW30</f>
        <v>0</v>
      </c>
    </row>
    <row r="16" spans="1:19" s="17" customFormat="1" ht="15" x14ac:dyDescent="0.2">
      <c r="A16" s="127"/>
      <c r="C16" s="355" t="str">
        <f>IF(R16&gt;0,J17," ")</f>
        <v xml:space="preserve"> </v>
      </c>
      <c r="D16" s="356"/>
      <c r="E16" s="356"/>
      <c r="F16" s="356"/>
      <c r="G16" s="357"/>
      <c r="H16" s="127"/>
      <c r="J16" s="281" t="s">
        <v>379</v>
      </c>
      <c r="K16" s="281"/>
      <c r="L16" s="281"/>
      <c r="M16" s="281"/>
      <c r="N16" s="281"/>
      <c r="O16" s="281"/>
      <c r="P16" s="135"/>
      <c r="R16" s="167">
        <f>'Grabstein+Sockel'!AW31</f>
        <v>0</v>
      </c>
    </row>
    <row r="17" spans="1:27" s="17" customFormat="1" ht="15" x14ac:dyDescent="0.2">
      <c r="A17" s="127"/>
      <c r="C17" s="364" t="str">
        <f>IF(R17&gt;0,J17," ")</f>
        <v xml:space="preserve"> </v>
      </c>
      <c r="D17" s="365"/>
      <c r="E17" s="365"/>
      <c r="F17" s="365"/>
      <c r="G17" s="366"/>
      <c r="H17" s="127"/>
      <c r="J17" s="281" t="s">
        <v>384</v>
      </c>
      <c r="K17" s="281"/>
      <c r="L17" s="281"/>
      <c r="M17" s="281"/>
      <c r="N17" s="281"/>
      <c r="O17" s="281"/>
      <c r="P17" s="135"/>
      <c r="R17" s="167">
        <f>'Grabstein+Sockel'!B97+'Grabstein+Sockel'!B98</f>
        <v>0</v>
      </c>
    </row>
    <row r="18" spans="1:27" s="17" customFormat="1" ht="9.9499999999999993" customHeight="1" x14ac:dyDescent="0.2">
      <c r="A18" s="127"/>
      <c r="H18" s="127"/>
    </row>
    <row r="19" spans="1:27" s="17" customFormat="1" ht="15.75" x14ac:dyDescent="0.25">
      <c r="A19" s="130" t="s">
        <v>35</v>
      </c>
      <c r="B19" s="15" t="s">
        <v>50</v>
      </c>
      <c r="D19" s="15"/>
      <c r="E19" s="15"/>
      <c r="H19" s="127"/>
      <c r="J19" s="128">
        <f>'Grabstein+Sockel'!L4</f>
        <v>0</v>
      </c>
    </row>
    <row r="20" spans="1:27" s="17" customFormat="1" ht="15" x14ac:dyDescent="0.2">
      <c r="A20"/>
      <c r="C20" s="361" t="str">
        <f t="shared" ref="C20:C25" si="0">IF(R21&gt;0,J21," ")</f>
        <v xml:space="preserve"> </v>
      </c>
      <c r="D20" s="362"/>
      <c r="E20" s="362"/>
      <c r="F20" s="362"/>
      <c r="G20" s="363"/>
      <c r="H20" s="127"/>
    </row>
    <row r="21" spans="1:27" s="17" customFormat="1" ht="15" x14ac:dyDescent="0.2">
      <c r="A21" s="127"/>
      <c r="C21" s="355" t="str">
        <f t="shared" si="0"/>
        <v xml:space="preserve"> </v>
      </c>
      <c r="D21" s="356"/>
      <c r="E21" s="356"/>
      <c r="F21" s="356"/>
      <c r="G21" s="357"/>
      <c r="H21" s="127"/>
      <c r="J21" s="281" t="s">
        <v>385</v>
      </c>
      <c r="K21" s="281"/>
      <c r="L21" s="281"/>
      <c r="M21" s="281"/>
      <c r="N21" s="281"/>
      <c r="O21" s="281"/>
      <c r="P21" s="135"/>
      <c r="R21" s="167">
        <f>'Grabstein+Sockel'!AJ57</f>
        <v>0</v>
      </c>
    </row>
    <row r="22" spans="1:27" s="17" customFormat="1" ht="15" x14ac:dyDescent="0.2">
      <c r="A22" s="127"/>
      <c r="B22"/>
      <c r="C22" s="355" t="str">
        <f t="shared" si="0"/>
        <v xml:space="preserve"> </v>
      </c>
      <c r="D22" s="356"/>
      <c r="E22" s="356"/>
      <c r="F22" s="356"/>
      <c r="G22" s="357"/>
      <c r="H22"/>
      <c r="I22"/>
      <c r="J22" s="281" t="s">
        <v>380</v>
      </c>
      <c r="K22" s="281"/>
      <c r="L22" s="281"/>
      <c r="M22" s="281"/>
      <c r="N22" s="281"/>
      <c r="O22" s="281"/>
      <c r="P22" s="135"/>
      <c r="R22" s="167">
        <f>'Grabstein+Sockel'!AJ58</f>
        <v>0</v>
      </c>
    </row>
    <row r="23" spans="1:27" s="17" customFormat="1" ht="15" x14ac:dyDescent="0.2">
      <c r="A23" s="127"/>
      <c r="C23" s="355" t="str">
        <f t="shared" si="0"/>
        <v xml:space="preserve"> </v>
      </c>
      <c r="D23" s="356"/>
      <c r="E23" s="356"/>
      <c r="F23" s="356"/>
      <c r="G23" s="357"/>
      <c r="H23" s="127"/>
      <c r="J23" s="281" t="s">
        <v>381</v>
      </c>
      <c r="K23" s="281"/>
      <c r="L23" s="281"/>
      <c r="M23" s="281"/>
      <c r="N23" s="281"/>
      <c r="O23" s="281"/>
      <c r="P23" s="135"/>
      <c r="R23" s="167">
        <f>'Grabstein+Sockel'!AJ59</f>
        <v>0</v>
      </c>
    </row>
    <row r="24" spans="1:27" s="17" customFormat="1" ht="15" x14ac:dyDescent="0.2">
      <c r="A24" s="127"/>
      <c r="C24" s="355" t="str">
        <f t="shared" si="0"/>
        <v xml:space="preserve"> </v>
      </c>
      <c r="D24" s="356"/>
      <c r="E24" s="356"/>
      <c r="F24" s="356"/>
      <c r="G24" s="357"/>
      <c r="H24" s="127"/>
      <c r="J24" s="281" t="s">
        <v>382</v>
      </c>
      <c r="K24" s="281"/>
      <c r="L24" s="281"/>
      <c r="M24" s="281"/>
      <c r="N24" s="281"/>
      <c r="O24" s="281"/>
      <c r="P24" s="135"/>
      <c r="R24" s="167">
        <f>'Grabstein+Sockel'!AJ60</f>
        <v>0</v>
      </c>
    </row>
    <row r="25" spans="1:27" s="17" customFormat="1" ht="15" x14ac:dyDescent="0.2">
      <c r="A25" s="127"/>
      <c r="C25" s="364" t="str">
        <f t="shared" si="0"/>
        <v xml:space="preserve"> </v>
      </c>
      <c r="D25" s="365"/>
      <c r="E25" s="365"/>
      <c r="F25" s="365"/>
      <c r="G25" s="366"/>
      <c r="H25" s="127"/>
      <c r="J25" s="279" t="s">
        <v>383</v>
      </c>
      <c r="K25" s="279"/>
      <c r="L25" s="279"/>
      <c r="M25" s="279"/>
      <c r="N25" s="279"/>
      <c r="O25" s="279"/>
      <c r="P25" s="134"/>
      <c r="R25" s="167">
        <f>'Grabstein+Sockel'!AJ61</f>
        <v>0</v>
      </c>
    </row>
    <row r="26" spans="1:27" s="17" customFormat="1" ht="9.9499999999999993" customHeight="1" x14ac:dyDescent="0.2">
      <c r="A26" s="127"/>
      <c r="H26" s="127"/>
      <c r="J26" s="279" t="s">
        <v>379</v>
      </c>
      <c r="K26" s="279"/>
      <c r="L26" s="279"/>
      <c r="M26" s="279"/>
      <c r="N26" s="279"/>
      <c r="O26" s="279"/>
      <c r="P26" s="134"/>
      <c r="R26" s="167">
        <f>'Grabstein+Sockel'!AJ62</f>
        <v>0</v>
      </c>
    </row>
    <row r="27" spans="1:27" s="17" customFormat="1" ht="15.75" x14ac:dyDescent="0.25">
      <c r="A27" s="14" t="s">
        <v>52</v>
      </c>
      <c r="B27" s="15" t="s">
        <v>51</v>
      </c>
      <c r="H27" s="127"/>
      <c r="J27" s="128">
        <f>Einfassung!L6</f>
        <v>0</v>
      </c>
    </row>
    <row r="28" spans="1:27" s="17" customFormat="1" ht="15" x14ac:dyDescent="0.2">
      <c r="A28" s="127"/>
      <c r="C28" s="361" t="str">
        <f>IF(R28&gt;0,J28," ")</f>
        <v xml:space="preserve"> </v>
      </c>
      <c r="D28" s="362"/>
      <c r="E28" s="362"/>
      <c r="F28" s="362"/>
      <c r="G28" s="363"/>
      <c r="H28" s="127"/>
      <c r="J28" s="281" t="s">
        <v>229</v>
      </c>
      <c r="K28" s="281"/>
      <c r="L28" s="281"/>
      <c r="M28" s="281"/>
      <c r="N28" s="281"/>
      <c r="O28" s="281"/>
      <c r="P28" s="135"/>
      <c r="Q28"/>
      <c r="R28" s="93">
        <f>Einfassung!AQ6</f>
        <v>0</v>
      </c>
    </row>
    <row r="29" spans="1:27" s="17" customFormat="1" ht="15" x14ac:dyDescent="0.2">
      <c r="A29" s="127"/>
      <c r="C29" s="355" t="str">
        <f>IF(R29&gt;0,J29," ")</f>
        <v xml:space="preserve"> </v>
      </c>
      <c r="D29" s="356"/>
      <c r="E29" s="356"/>
      <c r="F29" s="356"/>
      <c r="G29" s="357"/>
      <c r="H29" s="127"/>
      <c r="J29" s="281" t="s">
        <v>386</v>
      </c>
      <c r="K29" s="281"/>
      <c r="L29" s="281"/>
      <c r="M29" s="281"/>
      <c r="N29" s="281"/>
      <c r="O29" s="281"/>
      <c r="P29" s="135"/>
      <c r="Q29"/>
      <c r="R29" s="93">
        <f>Einfassung!AQ7</f>
        <v>0</v>
      </c>
    </row>
    <row r="30" spans="1:27" s="17" customFormat="1" ht="15" x14ac:dyDescent="0.2">
      <c r="A30" s="127"/>
      <c r="C30" s="355" t="str">
        <f>IF(R30&gt;0,J30," ")</f>
        <v xml:space="preserve"> </v>
      </c>
      <c r="D30" s="356"/>
      <c r="E30" s="356"/>
      <c r="F30" s="356"/>
      <c r="G30" s="357"/>
      <c r="H30" s="127"/>
      <c r="J30" s="281" t="s">
        <v>387</v>
      </c>
      <c r="K30" s="281"/>
      <c r="L30" s="281"/>
      <c r="M30" s="281"/>
      <c r="N30" s="281"/>
      <c r="O30" s="281"/>
      <c r="P30" s="135"/>
      <c r="Q30"/>
      <c r="R30" s="93">
        <f>Einfassung!AQ8</f>
        <v>0</v>
      </c>
    </row>
    <row r="31" spans="1:27" s="17" customFormat="1" ht="15" x14ac:dyDescent="0.2">
      <c r="A31" s="127"/>
      <c r="C31" s="355" t="str">
        <f>IF(R31&gt;0,J31," ")</f>
        <v xml:space="preserve"> </v>
      </c>
      <c r="D31" s="356"/>
      <c r="E31" s="356"/>
      <c r="F31" s="356"/>
      <c r="G31" s="357"/>
      <c r="H31" s="127"/>
      <c r="J31" s="281" t="s">
        <v>388</v>
      </c>
      <c r="K31" s="281"/>
      <c r="L31" s="281"/>
      <c r="M31" s="281"/>
      <c r="N31" s="281"/>
      <c r="O31" s="281"/>
      <c r="P31" s="135"/>
      <c r="Q31"/>
      <c r="R31" s="93">
        <f>Einfassung!AQ9</f>
        <v>0</v>
      </c>
    </row>
    <row r="32" spans="1:27" s="17" customFormat="1" ht="15.75" x14ac:dyDescent="0.25">
      <c r="A32" s="127"/>
      <c r="C32" s="355" t="str">
        <f>IF(R32&gt;0,J32," ")</f>
        <v xml:space="preserve"> </v>
      </c>
      <c r="D32" s="356"/>
      <c r="E32" s="356"/>
      <c r="F32" s="356"/>
      <c r="G32" s="357"/>
      <c r="H32" s="127"/>
      <c r="J32" s="281" t="s">
        <v>389</v>
      </c>
      <c r="K32" s="279"/>
      <c r="L32" s="279"/>
      <c r="M32" s="279"/>
      <c r="N32" s="279"/>
      <c r="O32" s="279"/>
      <c r="P32" s="134"/>
      <c r="Q32" s="132"/>
      <c r="R32" s="93">
        <f>Einfassung!AQ10</f>
        <v>0</v>
      </c>
      <c r="AA32" s="15"/>
    </row>
    <row r="33" spans="1:34" s="17" customFormat="1" ht="15.75" x14ac:dyDescent="0.25">
      <c r="A33" s="127"/>
      <c r="C33" s="358" t="str">
        <f>IF(H3&gt;0,"Dicke bzw. Höhe vergrößern!","")</f>
        <v/>
      </c>
      <c r="D33" s="359"/>
      <c r="E33" s="359"/>
      <c r="F33" s="359"/>
      <c r="G33" s="360"/>
      <c r="H33" s="127"/>
    </row>
    <row r="34" spans="1:34" s="17" customFormat="1" ht="9.9499999999999993" customHeight="1" x14ac:dyDescent="0.2">
      <c r="A34" s="127"/>
      <c r="H34" s="127"/>
    </row>
    <row r="35" spans="1:34" s="17" customFormat="1" ht="15.75" x14ac:dyDescent="0.25">
      <c r="A35" s="14" t="s">
        <v>52</v>
      </c>
      <c r="B35" s="15" t="s">
        <v>53</v>
      </c>
      <c r="D35" s="15">
        <f>Einfassung!D36</f>
        <v>0</v>
      </c>
      <c r="E35" s="15" t="s">
        <v>24</v>
      </c>
      <c r="H35" s="127"/>
      <c r="J35" s="128">
        <f>Fundament!L1</f>
        <v>0</v>
      </c>
    </row>
    <row r="36" spans="1:34" s="17" customFormat="1" ht="15" x14ac:dyDescent="0.2">
      <c r="A36" s="127"/>
      <c r="C36" s="361" t="str">
        <f>IF(R36&gt;0,J36," ")</f>
        <v xml:space="preserve"> </v>
      </c>
      <c r="D36" s="362"/>
      <c r="E36" s="362"/>
      <c r="F36" s="362"/>
      <c r="G36" s="363"/>
      <c r="H36" s="127"/>
      <c r="J36" s="281" t="s">
        <v>229</v>
      </c>
      <c r="K36" s="281"/>
      <c r="L36" s="281"/>
      <c r="M36" s="281"/>
      <c r="N36" s="281"/>
      <c r="O36" s="281"/>
      <c r="P36" s="135"/>
      <c r="Q36"/>
      <c r="R36" s="93">
        <f>Einfassung!AQ41</f>
        <v>0</v>
      </c>
    </row>
    <row r="37" spans="1:34" s="17" customFormat="1" ht="15" x14ac:dyDescent="0.2">
      <c r="A37" s="127"/>
      <c r="C37" s="355" t="str">
        <f>IF(R37&gt;0,J37," ")</f>
        <v xml:space="preserve"> </v>
      </c>
      <c r="D37" s="356"/>
      <c r="E37" s="356"/>
      <c r="F37" s="356"/>
      <c r="G37" s="357"/>
      <c r="H37" s="127"/>
      <c r="J37" s="281" t="s">
        <v>386</v>
      </c>
      <c r="K37" s="281"/>
      <c r="L37" s="281"/>
      <c r="M37" s="281"/>
      <c r="N37" s="281"/>
      <c r="O37" s="281"/>
      <c r="P37" s="135"/>
      <c r="Q37"/>
      <c r="R37" s="93">
        <f>Einfassung!AQ42</f>
        <v>0</v>
      </c>
    </row>
    <row r="38" spans="1:34" s="17" customFormat="1" ht="15" x14ac:dyDescent="0.2">
      <c r="A38" s="127"/>
      <c r="C38" s="355" t="str">
        <f>IF(R38&gt;0,J38," ")</f>
        <v xml:space="preserve"> </v>
      </c>
      <c r="D38" s="356"/>
      <c r="E38" s="356"/>
      <c r="F38" s="356"/>
      <c r="G38" s="357"/>
      <c r="H38" s="127"/>
      <c r="J38" s="281" t="s">
        <v>387</v>
      </c>
      <c r="K38" s="281"/>
      <c r="L38" s="281"/>
      <c r="M38" s="281"/>
      <c r="N38" s="281"/>
      <c r="O38" s="281"/>
      <c r="P38" s="135"/>
      <c r="Q38"/>
      <c r="R38" s="93">
        <f>Einfassung!AQ43</f>
        <v>0</v>
      </c>
    </row>
    <row r="39" spans="1:34" s="17" customFormat="1" ht="15" x14ac:dyDescent="0.2">
      <c r="A39" s="127"/>
      <c r="C39" s="364" t="str">
        <f>IF(R39&gt;0,J39," ")</f>
        <v xml:space="preserve"> </v>
      </c>
      <c r="D39" s="365"/>
      <c r="E39" s="365"/>
      <c r="F39" s="365"/>
      <c r="G39" s="366"/>
      <c r="H39" s="127"/>
      <c r="J39" s="281" t="s">
        <v>390</v>
      </c>
      <c r="K39" s="279"/>
      <c r="L39" s="279"/>
      <c r="M39" s="279"/>
      <c r="N39" s="279"/>
      <c r="O39" s="279"/>
      <c r="P39" s="134"/>
      <c r="Q39"/>
      <c r="R39" s="93">
        <f>Einfassung!AQ44</f>
        <v>0</v>
      </c>
    </row>
    <row r="40" spans="1:34" s="17" customFormat="1" ht="9.9499999999999993" customHeight="1" x14ac:dyDescent="0.2">
      <c r="A40" s="127"/>
      <c r="H40" s="127"/>
      <c r="M40"/>
      <c r="N40" s="284"/>
      <c r="O40" s="348"/>
      <c r="P40" s="348"/>
      <c r="Q40" s="348"/>
      <c r="R40" s="348"/>
      <c r="S40" s="348"/>
      <c r="T40" s="348"/>
      <c r="U40" s="348"/>
    </row>
    <row r="41" spans="1:34" s="17" customFormat="1" ht="15.75" x14ac:dyDescent="0.25">
      <c r="A41" s="14" t="s">
        <v>35</v>
      </c>
      <c r="B41" s="15" t="s">
        <v>55</v>
      </c>
      <c r="E41" s="373" t="str">
        <f>IF(H41=1,"Einzelfundament",IF(H42=1,"Pfahlgründung",""))</f>
        <v/>
      </c>
      <c r="F41" s="373"/>
      <c r="G41" s="373"/>
      <c r="H41" s="127"/>
      <c r="J41" s="128">
        <f>Fundament!L5</f>
        <v>0</v>
      </c>
      <c r="M41"/>
      <c r="N41" s="59"/>
      <c r="O41" s="137"/>
      <c r="P41" s="137"/>
      <c r="Q41" s="137"/>
      <c r="R41" s="137"/>
      <c r="S41" s="137"/>
      <c r="T41" s="137"/>
      <c r="U41" s="137"/>
      <c r="AA41">
        <v>0</v>
      </c>
      <c r="AB41" s="281" t="s">
        <v>286</v>
      </c>
      <c r="AC41" s="279"/>
      <c r="AD41" s="279"/>
      <c r="AE41" s="279"/>
      <c r="AF41" s="279"/>
      <c r="AG41" s="279"/>
      <c r="AH41" s="279"/>
    </row>
    <row r="42" spans="1:34" s="17" customFormat="1" ht="15.75" x14ac:dyDescent="0.25">
      <c r="A42" s="127"/>
      <c r="C42" s="367" t="str">
        <f>VLOOKUP(J41,AA41:AH48,2)</f>
        <v xml:space="preserve"> </v>
      </c>
      <c r="D42" s="368"/>
      <c r="E42" s="368"/>
      <c r="F42" s="368"/>
      <c r="G42" s="369"/>
      <c r="H42" s="127"/>
      <c r="J42" s="281" t="s">
        <v>229</v>
      </c>
      <c r="K42" s="281"/>
      <c r="L42" s="281"/>
      <c r="M42" s="281"/>
      <c r="N42" s="281"/>
      <c r="O42" s="281"/>
      <c r="P42" s="281"/>
      <c r="Q42" s="281"/>
      <c r="R42" s="93">
        <f>Fundament!AN7</f>
        <v>0</v>
      </c>
      <c r="S42" s="93">
        <f>Fundament!AN28</f>
        <v>0</v>
      </c>
      <c r="T42" s="93">
        <f>Fundament!AN90</f>
        <v>0</v>
      </c>
      <c r="U42" s="137"/>
      <c r="V42" s="93">
        <f>R42+S42+T42</f>
        <v>0</v>
      </c>
      <c r="AA42">
        <v>1</v>
      </c>
      <c r="AB42" s="281" t="s">
        <v>218</v>
      </c>
      <c r="AC42" s="279"/>
      <c r="AD42" s="279"/>
      <c r="AE42" s="279"/>
      <c r="AF42" s="279"/>
      <c r="AG42" s="279"/>
      <c r="AH42" s="279"/>
    </row>
    <row r="43" spans="1:34" s="17" customFormat="1" ht="15" x14ac:dyDescent="0.2">
      <c r="A43" s="127"/>
      <c r="C43" s="355" t="str">
        <f>IF(V42&gt;0,J42," ")</f>
        <v xml:space="preserve"> </v>
      </c>
      <c r="D43" s="356"/>
      <c r="E43" s="356"/>
      <c r="F43" s="356"/>
      <c r="G43" s="357"/>
      <c r="H43" s="127"/>
      <c r="J43" s="281" t="s">
        <v>391</v>
      </c>
      <c r="K43" s="281"/>
      <c r="L43" s="281"/>
      <c r="M43" s="281"/>
      <c r="N43" s="281"/>
      <c r="O43" s="281"/>
      <c r="P43" s="281"/>
      <c r="Q43" s="137"/>
      <c r="R43" s="93">
        <f>Fundament!AN8</f>
        <v>0</v>
      </c>
      <c r="S43" s="93">
        <f>Fundament!AN29</f>
        <v>0</v>
      </c>
      <c r="T43" s="93">
        <f>Fundament!AN91</f>
        <v>0</v>
      </c>
      <c r="U43" s="93">
        <f>Fundament!AN145</f>
        <v>0</v>
      </c>
      <c r="V43" s="93">
        <f>R43+S43+T43+U43</f>
        <v>0</v>
      </c>
      <c r="AA43">
        <v>2</v>
      </c>
      <c r="AB43" s="281" t="s">
        <v>219</v>
      </c>
      <c r="AC43" s="279"/>
      <c r="AD43" s="279"/>
      <c r="AE43" s="279"/>
      <c r="AF43" s="279"/>
      <c r="AG43" s="279"/>
      <c r="AH43" s="279"/>
    </row>
    <row r="44" spans="1:34" s="17" customFormat="1" ht="15" x14ac:dyDescent="0.2">
      <c r="A44" s="127"/>
      <c r="C44" s="370" t="str">
        <f>IF(V43&gt;0,J43," ")</f>
        <v xml:space="preserve"> </v>
      </c>
      <c r="D44" s="371"/>
      <c r="E44" s="371"/>
      <c r="F44" s="371"/>
      <c r="G44" s="372"/>
      <c r="H44" s="127"/>
      <c r="J44" s="281" t="s">
        <v>392</v>
      </c>
      <c r="K44" s="281"/>
      <c r="L44" s="281"/>
      <c r="M44" s="281"/>
      <c r="N44" s="281"/>
      <c r="O44" s="281"/>
      <c r="P44" s="281"/>
      <c r="R44" s="138">
        <f>Fundament!AN9</f>
        <v>0</v>
      </c>
      <c r="S44" s="138">
        <f>Fundament!AN30</f>
        <v>0</v>
      </c>
      <c r="T44" s="138">
        <f>Fundament!AN92</f>
        <v>0</v>
      </c>
      <c r="V44" s="93">
        <f>R44+S44+T44</f>
        <v>0</v>
      </c>
      <c r="AA44">
        <v>3</v>
      </c>
      <c r="AB44" s="281" t="s">
        <v>272</v>
      </c>
      <c r="AC44" s="279"/>
      <c r="AD44" s="279"/>
      <c r="AE44" s="279"/>
      <c r="AF44" s="279"/>
      <c r="AG44" s="279"/>
      <c r="AH44" s="279"/>
    </row>
    <row r="45" spans="1:34" s="17" customFormat="1" ht="15" x14ac:dyDescent="0.2">
      <c r="A45" s="127"/>
      <c r="C45" s="355" t="str">
        <f>IF(V44&gt;0,J44," ")</f>
        <v xml:space="preserve"> </v>
      </c>
      <c r="D45" s="356"/>
      <c r="E45" s="356"/>
      <c r="F45" s="356"/>
      <c r="G45" s="357"/>
      <c r="H45" s="127"/>
      <c r="J45" s="281" t="s">
        <v>393</v>
      </c>
      <c r="K45" s="281"/>
      <c r="L45" s="281"/>
      <c r="M45" s="281"/>
      <c r="N45" s="281"/>
      <c r="O45" s="281"/>
      <c r="P45" s="281"/>
      <c r="R45" s="138" t="e">
        <f>Fundament!AN10</f>
        <v>#DIV/0!</v>
      </c>
      <c r="S45" s="138">
        <f>Fundament!AN31</f>
        <v>0</v>
      </c>
      <c r="T45" s="138">
        <f>Fundament!AN93</f>
        <v>0</v>
      </c>
      <c r="U45" s="138">
        <f>Fundament!AN147</f>
        <v>0</v>
      </c>
      <c r="V45" s="93" t="e">
        <f>R45+S45+T45+U45</f>
        <v>#DIV/0!</v>
      </c>
      <c r="AA45">
        <v>4</v>
      </c>
      <c r="AB45" s="281" t="s">
        <v>296</v>
      </c>
      <c r="AC45" s="279"/>
      <c r="AD45" s="279"/>
      <c r="AE45" s="279"/>
      <c r="AF45" s="279"/>
      <c r="AG45" s="279"/>
      <c r="AH45" s="279"/>
    </row>
    <row r="46" spans="1:34" s="17" customFormat="1" ht="15" x14ac:dyDescent="0.2">
      <c r="A46" s="127"/>
      <c r="C46" s="364" t="e">
        <f>IF(V45&gt;0,J45," ")</f>
        <v>#DIV/0!</v>
      </c>
      <c r="D46" s="365"/>
      <c r="E46" s="365"/>
      <c r="F46" s="365"/>
      <c r="G46" s="366"/>
      <c r="H46" s="127"/>
      <c r="AA46" s="17">
        <v>5</v>
      </c>
      <c r="AB46" s="281" t="s">
        <v>370</v>
      </c>
      <c r="AC46" s="279"/>
      <c r="AD46" s="279"/>
      <c r="AE46" s="279"/>
      <c r="AF46" s="279"/>
      <c r="AG46" s="279"/>
      <c r="AH46" s="279"/>
    </row>
    <row r="47" spans="1:34" s="17" customFormat="1" ht="15" x14ac:dyDescent="0.2">
      <c r="A47" s="127"/>
      <c r="H47" s="127"/>
      <c r="AA47" s="17">
        <v>6</v>
      </c>
      <c r="AB47" s="17" t="s">
        <v>362</v>
      </c>
    </row>
    <row r="48" spans="1:34" s="17" customFormat="1" ht="15" x14ac:dyDescent="0.2">
      <c r="A48" s="127"/>
      <c r="H48" s="127"/>
      <c r="AA48" s="17">
        <v>7</v>
      </c>
      <c r="AB48" s="17" t="s">
        <v>220</v>
      </c>
    </row>
    <row r="49" spans="1:24" s="17" customFormat="1" ht="15" x14ac:dyDescent="0.2">
      <c r="A49" s="127"/>
      <c r="H49" s="127"/>
    </row>
    <row r="50" spans="1:24" s="17" customFormat="1" ht="15" x14ac:dyDescent="0.2">
      <c r="A50" s="127"/>
      <c r="H50" s="127"/>
    </row>
    <row r="51" spans="1:24" s="17" customFormat="1" ht="15" x14ac:dyDescent="0.2">
      <c r="A51" s="127"/>
      <c r="H51" s="127"/>
    </row>
    <row r="52" spans="1:24" s="17" customFormat="1" ht="15" x14ac:dyDescent="0.2">
      <c r="A52" s="127"/>
      <c r="H52" s="127"/>
    </row>
    <row r="53" spans="1:24" s="17" customFormat="1" ht="15" x14ac:dyDescent="0.2">
      <c r="A53" s="127"/>
      <c r="H53" s="127"/>
    </row>
    <row r="54" spans="1:24" s="17" customFormat="1" ht="15" x14ac:dyDescent="0.2">
      <c r="A54" s="127"/>
      <c r="H54" s="127"/>
    </row>
    <row r="55" spans="1:24" s="17" customFormat="1" ht="15" x14ac:dyDescent="0.2">
      <c r="A55" s="127"/>
      <c r="H55" s="127"/>
    </row>
    <row r="56" spans="1:24" s="17" customFormat="1" ht="15" x14ac:dyDescent="0.2">
      <c r="A56" s="127"/>
      <c r="H56" s="127"/>
    </row>
    <row r="57" spans="1:24" s="17" customFormat="1" ht="15" x14ac:dyDescent="0.2">
      <c r="A57" s="127"/>
      <c r="H57" s="127"/>
    </row>
    <row r="58" spans="1:24" s="17" customFormat="1" ht="15" x14ac:dyDescent="0.2">
      <c r="A58" s="127"/>
      <c r="H58" s="127"/>
    </row>
    <row r="59" spans="1:24" s="17" customFormat="1" ht="15" x14ac:dyDescent="0.2">
      <c r="A59" s="51"/>
      <c r="B59"/>
      <c r="C59"/>
      <c r="D59"/>
      <c r="E59"/>
      <c r="F59"/>
      <c r="G59"/>
      <c r="H59" s="127"/>
    </row>
    <row r="60" spans="1:24" s="17" customFormat="1" ht="15" x14ac:dyDescent="0.2">
      <c r="A60" s="51"/>
      <c r="B60"/>
      <c r="C60"/>
      <c r="D60"/>
      <c r="E60"/>
      <c r="F60"/>
      <c r="G60"/>
      <c r="H60" s="51"/>
      <c r="K60"/>
      <c r="L60"/>
      <c r="M60"/>
      <c r="N60"/>
      <c r="O60"/>
      <c r="P60"/>
      <c r="Q60"/>
      <c r="R60"/>
      <c r="S60"/>
      <c r="T60"/>
      <c r="U60"/>
      <c r="V60"/>
    </row>
    <row r="61" spans="1:24" ht="15" x14ac:dyDescent="0.2">
      <c r="I61" s="17"/>
      <c r="W61" s="17"/>
      <c r="X61" s="17"/>
    </row>
    <row r="62" spans="1:24" ht="15" x14ac:dyDescent="0.2">
      <c r="I62" s="17"/>
    </row>
  </sheetData>
  <sheetProtection password="9453" sheet="1" objects="1" scenarios="1" selectLockedCells="1"/>
  <mergeCells count="72">
    <mergeCell ref="C23:G23"/>
    <mergeCell ref="C25:G25"/>
    <mergeCell ref="C8:G8"/>
    <mergeCell ref="C10:G10"/>
    <mergeCell ref="C11:G11"/>
    <mergeCell ref="A1:F1"/>
    <mergeCell ref="A2:F2"/>
    <mergeCell ref="G1:H1"/>
    <mergeCell ref="G2:H2"/>
    <mergeCell ref="C22:G22"/>
    <mergeCell ref="C21:G21"/>
    <mergeCell ref="C4:F4"/>
    <mergeCell ref="B5:F5"/>
    <mergeCell ref="C14:G14"/>
    <mergeCell ref="C17:G17"/>
    <mergeCell ref="C20:G20"/>
    <mergeCell ref="C16:G16"/>
    <mergeCell ref="C15:G15"/>
    <mergeCell ref="J26:O26"/>
    <mergeCell ref="C24:G24"/>
    <mergeCell ref="J17:O17"/>
    <mergeCell ref="C46:G46"/>
    <mergeCell ref="C42:G42"/>
    <mergeCell ref="C43:G43"/>
    <mergeCell ref="C44:G44"/>
    <mergeCell ref="C36:G36"/>
    <mergeCell ref="C37:G37"/>
    <mergeCell ref="C32:G32"/>
    <mergeCell ref="E41:G41"/>
    <mergeCell ref="C45:G45"/>
    <mergeCell ref="C39:G39"/>
    <mergeCell ref="J23:O23"/>
    <mergeCell ref="J24:O24"/>
    <mergeCell ref="J25:O25"/>
    <mergeCell ref="J10:O10"/>
    <mergeCell ref="J11:O11"/>
    <mergeCell ref="J12:O12"/>
    <mergeCell ref="J15:O15"/>
    <mergeCell ref="J16:O16"/>
    <mergeCell ref="J14:O14"/>
    <mergeCell ref="J8:L8"/>
    <mergeCell ref="C38:G38"/>
    <mergeCell ref="J28:O28"/>
    <mergeCell ref="J29:O29"/>
    <mergeCell ref="J30:O30"/>
    <mergeCell ref="J31:O31"/>
    <mergeCell ref="J32:O32"/>
    <mergeCell ref="C33:G33"/>
    <mergeCell ref="C28:G28"/>
    <mergeCell ref="C31:G31"/>
    <mergeCell ref="C29:G29"/>
    <mergeCell ref="C30:G30"/>
    <mergeCell ref="J9:O9"/>
    <mergeCell ref="C9:G9"/>
    <mergeCell ref="J21:O21"/>
    <mergeCell ref="J22:O22"/>
    <mergeCell ref="AB46:AH46"/>
    <mergeCell ref="J5:S5"/>
    <mergeCell ref="AB45:AH45"/>
    <mergeCell ref="J45:P45"/>
    <mergeCell ref="J36:O36"/>
    <mergeCell ref="J37:O37"/>
    <mergeCell ref="J38:O38"/>
    <mergeCell ref="J39:O39"/>
    <mergeCell ref="AB41:AH41"/>
    <mergeCell ref="AB42:AH42"/>
    <mergeCell ref="AB43:AH43"/>
    <mergeCell ref="AB44:AH44"/>
    <mergeCell ref="N40:U40"/>
    <mergeCell ref="J42:Q42"/>
    <mergeCell ref="J43:P43"/>
    <mergeCell ref="J44:P44"/>
  </mergeCells>
  <phoneticPr fontId="0" type="noConversion"/>
  <conditionalFormatting sqref="D19:E19 C7:F7">
    <cfRule type="expression" dxfId="34" priority="11" stopIfTrue="1">
      <formula>$A$3&lt;1</formula>
    </cfRule>
  </conditionalFormatting>
  <conditionalFormatting sqref="C11:G11">
    <cfRule type="expression" dxfId="33" priority="15" stopIfTrue="1">
      <formula>$A$3&lt;0.9</formula>
    </cfRule>
  </conditionalFormatting>
  <conditionalFormatting sqref="A35">
    <cfRule type="expression" dxfId="32" priority="17" stopIfTrue="1">
      <formula>$B$4&gt;=1</formula>
    </cfRule>
  </conditionalFormatting>
  <conditionalFormatting sqref="D35:E35">
    <cfRule type="expression" dxfId="31" priority="18" stopIfTrue="1">
      <formula>$B$4&lt;1</formula>
    </cfRule>
  </conditionalFormatting>
  <conditionalFormatting sqref="A7">
    <cfRule type="expression" dxfId="30" priority="10">
      <formula>$J$7=0</formula>
    </cfRule>
  </conditionalFormatting>
  <conditionalFormatting sqref="A13">
    <cfRule type="expression" dxfId="29" priority="67">
      <formula>$J$13=0</formula>
    </cfRule>
  </conditionalFormatting>
  <conditionalFormatting sqref="A41">
    <cfRule type="expression" dxfId="28" priority="68" stopIfTrue="1">
      <formula>$J$41&gt;0</formula>
    </cfRule>
  </conditionalFormatting>
  <conditionalFormatting sqref="A19">
    <cfRule type="expression" dxfId="27" priority="69">
      <formula>$J$19=0</formula>
    </cfRule>
  </conditionalFormatting>
  <conditionalFormatting sqref="C25:G25">
    <cfRule type="expression" dxfId="26" priority="70">
      <formula>$J$19=0</formula>
    </cfRule>
  </conditionalFormatting>
  <conditionalFormatting sqref="A27">
    <cfRule type="expression" dxfId="25" priority="5">
      <formula>$J$27=1</formula>
    </cfRule>
  </conditionalFormatting>
  <conditionalFormatting sqref="C33:G33">
    <cfRule type="expression" dxfId="24" priority="81" stopIfTrue="1">
      <formula>$A$31&gt;0</formula>
    </cfRule>
    <cfRule type="expression" dxfId="23" priority="82" stopIfTrue="1">
      <formula>$A$33=0</formula>
    </cfRule>
  </conditionalFormatting>
  <conditionalFormatting sqref="C46:G46">
    <cfRule type="expression" dxfId="22" priority="4">
      <formula>$J$41=0</formula>
    </cfRule>
  </conditionalFormatting>
  <conditionalFormatting sqref="B5:F5">
    <cfRule type="expression" dxfId="21" priority="2">
      <formula>$K$4=500</formula>
    </cfRule>
    <cfRule type="expression" dxfId="20" priority="1">
      <formula>$J$4=0</formula>
    </cfRule>
  </conditionalFormatting>
  <hyperlinks>
    <hyperlink ref="G6" r:id="rId1"/>
  </hyperlinks>
  <pageMargins left="0.78740157499999996" right="0.78740157499999996" top="0.984251969" bottom="0.984251969" header="0.4921259845" footer="0.4921259845"/>
  <pageSetup paperSize="9" orientation="portrait" horizontalDpi="1200" verticalDpi="12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51"/>
  <sheetViews>
    <sheetView showGridLines="0" zoomScale="160" zoomScaleNormal="160" workbookViewId="0">
      <selection activeCell="C48" sqref="C48:D48"/>
    </sheetView>
  </sheetViews>
  <sheetFormatPr baseColWidth="10" defaultRowHeight="12.75" x14ac:dyDescent="0.2"/>
  <cols>
    <col min="1" max="1" width="7.28515625" customWidth="1"/>
    <col min="2" max="2" width="7.5703125" customWidth="1"/>
    <col min="3" max="6" width="7.28515625" customWidth="1"/>
    <col min="7" max="7" width="4.140625" customWidth="1"/>
    <col min="8" max="8" width="3.85546875" customWidth="1"/>
    <col min="9" max="9" width="9.42578125" customWidth="1"/>
    <col min="10" max="10" width="11.28515625" customWidth="1"/>
    <col min="11" max="11" width="12.42578125" customWidth="1"/>
    <col min="12" max="12" width="11.140625" hidden="1" customWidth="1"/>
    <col min="13" max="13" width="7.5703125" hidden="1" customWidth="1"/>
    <col min="14" max="14" width="7.28515625" hidden="1" customWidth="1"/>
    <col min="15" max="16" width="7.28515625" style="185" hidden="1" customWidth="1"/>
    <col min="17" max="17" width="8.85546875" style="185" hidden="1" customWidth="1"/>
    <col min="18" max="25" width="6.7109375" hidden="1" customWidth="1"/>
    <col min="26" max="30" width="11.42578125" hidden="1" customWidth="1"/>
  </cols>
  <sheetData>
    <row r="1" spans="1:19" x14ac:dyDescent="0.2">
      <c r="A1" s="217"/>
      <c r="B1" s="284" t="str">
        <f>Lizenznehmer!A100</f>
        <v>Friedhofsverwaltung</v>
      </c>
      <c r="C1" s="284"/>
      <c r="D1" s="284"/>
      <c r="E1" s="284"/>
      <c r="F1" s="284"/>
      <c r="G1" s="284"/>
      <c r="H1" s="284"/>
      <c r="I1" s="284"/>
      <c r="J1" s="281" t="str">
        <f>Lizenznehmer!J100</f>
        <v>Tel.: 06074 911360</v>
      </c>
      <c r="K1" s="281"/>
    </row>
    <row r="2" spans="1:19" ht="13.5" thickBot="1" x14ac:dyDescent="0.25">
      <c r="A2" s="13"/>
      <c r="B2" s="400" t="str">
        <f>Lizenznehmer!A101</f>
        <v>63322 Rödermark, Dieburger Straße 13-17</v>
      </c>
      <c r="C2" s="400"/>
      <c r="D2" s="400"/>
      <c r="E2" s="400"/>
      <c r="F2" s="400"/>
      <c r="G2" s="400"/>
      <c r="H2" s="400"/>
      <c r="I2" s="400"/>
      <c r="J2" s="303" t="str">
        <f>Lizenznehmer!J101</f>
        <v>Fax: 06074 91 11 360</v>
      </c>
      <c r="K2" s="303"/>
    </row>
    <row r="3" spans="1:19" ht="13.5" thickTop="1" x14ac:dyDescent="0.2"/>
    <row r="4" spans="1:19" ht="13.5" x14ac:dyDescent="0.25">
      <c r="B4" s="189"/>
      <c r="C4" s="402"/>
      <c r="D4" s="402"/>
      <c r="E4" s="402"/>
      <c r="F4" s="402"/>
      <c r="G4" s="402"/>
      <c r="H4" s="409" t="s">
        <v>312</v>
      </c>
      <c r="I4" s="409"/>
      <c r="J4" s="409"/>
      <c r="K4" s="201"/>
      <c r="L4" s="212"/>
      <c r="M4" s="212"/>
    </row>
    <row r="5" spans="1:19" ht="13.5" x14ac:dyDescent="0.25">
      <c r="B5" s="221" t="s">
        <v>306</v>
      </c>
      <c r="C5" s="379"/>
      <c r="D5" s="380"/>
      <c r="E5" s="380"/>
      <c r="F5" s="381"/>
      <c r="G5" s="403" t="s">
        <v>331</v>
      </c>
      <c r="H5" s="404"/>
      <c r="I5" s="379"/>
      <c r="J5" s="380"/>
      <c r="K5" s="381"/>
      <c r="L5" s="213"/>
      <c r="M5" s="213"/>
    </row>
    <row r="6" spans="1:19" ht="13.5" x14ac:dyDescent="0.25">
      <c r="C6" s="382"/>
      <c r="D6" s="383"/>
      <c r="E6" s="383"/>
      <c r="F6" s="384"/>
      <c r="G6" s="408"/>
      <c r="H6" s="348"/>
      <c r="I6" s="405"/>
      <c r="J6" s="406"/>
      <c r="K6" s="407"/>
      <c r="L6" s="213"/>
      <c r="M6" s="213"/>
    </row>
    <row r="7" spans="1:19" ht="13.5" thickBot="1" x14ac:dyDescent="0.25"/>
    <row r="8" spans="1:19" ht="13.5" thickBot="1" x14ac:dyDescent="0.25">
      <c r="C8" s="401" t="s">
        <v>307</v>
      </c>
      <c r="D8" s="401"/>
      <c r="E8" s="401"/>
      <c r="F8" s="401"/>
      <c r="G8" s="401"/>
      <c r="I8" s="190" t="s">
        <v>308</v>
      </c>
      <c r="N8" s="185"/>
      <c r="O8" s="211">
        <f>'Grabstein+Sockel'!L4</f>
        <v>0</v>
      </c>
    </row>
    <row r="9" spans="1:19" ht="14.25" thickBot="1" x14ac:dyDescent="0.3">
      <c r="C9" s="385" t="str">
        <f>IF(O8=1,"Grabstein mit","")</f>
        <v/>
      </c>
      <c r="D9" s="386"/>
      <c r="E9" s="210" t="str">
        <f>IF(O9&gt;0,O9,"")</f>
        <v/>
      </c>
      <c r="F9" s="220" t="str">
        <f>IF(O8=1,"Teil(en)","")</f>
        <v/>
      </c>
      <c r="G9" s="203"/>
      <c r="H9" s="204"/>
      <c r="I9" s="205" t="str">
        <f>IF(O8=1,"Seite 1","")</f>
        <v/>
      </c>
      <c r="J9" s="191" t="s">
        <v>309</v>
      </c>
      <c r="N9" s="185">
        <f>Bedenken!R9+Bedenken!R10+Bedenken!R11+Bedenken!R12</f>
        <v>0</v>
      </c>
      <c r="O9" s="202">
        <f>'Grabstein+Sockel'!D4</f>
        <v>0</v>
      </c>
    </row>
    <row r="10" spans="1:19" ht="14.25" thickBot="1" x14ac:dyDescent="0.3">
      <c r="C10" s="396" t="str">
        <f>IF(O10=1,"Sockel","")</f>
        <v/>
      </c>
      <c r="D10" s="397"/>
      <c r="E10" s="397"/>
      <c r="F10" s="398"/>
      <c r="G10" s="398"/>
      <c r="H10" s="399"/>
      <c r="I10" s="206" t="str">
        <f>IF(O10=1,"Seite 1","")</f>
        <v/>
      </c>
      <c r="J10" s="191" t="s">
        <v>309</v>
      </c>
      <c r="N10" s="185">
        <f>Bedenken!R14+Bedenken!R15+Bedenken!R16+Bedenken!R17</f>
        <v>0</v>
      </c>
      <c r="O10" s="202">
        <f>'Grabstein+Sockel'!L30</f>
        <v>0</v>
      </c>
    </row>
    <row r="11" spans="1:19" ht="14.25" thickBot="1" x14ac:dyDescent="0.3">
      <c r="C11" s="396" t="str">
        <f>IF(O11&gt;0,"Verdübelungsvariante:","")</f>
        <v/>
      </c>
      <c r="D11" s="397"/>
      <c r="E11" s="397"/>
      <c r="F11" s="219" t="str">
        <f>IF(O8=1,O11,"")</f>
        <v/>
      </c>
      <c r="G11" s="216"/>
      <c r="H11" s="218"/>
      <c r="I11" s="206" t="str">
        <f>IF(O11&gt;0,"Seite 2","")</f>
        <v/>
      </c>
      <c r="J11" s="191" t="s">
        <v>309</v>
      </c>
      <c r="N11" s="185">
        <f>Bedenken!R21+Bedenken!R22+Bedenken!R23+Bedenken!R24+Bedenken!R25+Bedenken!R26</f>
        <v>0</v>
      </c>
      <c r="O11" s="202">
        <f>P11*O8</f>
        <v>0</v>
      </c>
      <c r="P11" s="185">
        <f>IF(Q11=1,1,IF(R11=1,2,3))</f>
        <v>3</v>
      </c>
      <c r="Q11" s="185">
        <f>'Grabstein+Sockel'!L58</f>
        <v>0</v>
      </c>
      <c r="R11">
        <f>'Grabstein+Sockel'!L69</f>
        <v>0</v>
      </c>
      <c r="S11">
        <f>'Grabstein+Sockel'!L81</f>
        <v>0</v>
      </c>
    </row>
    <row r="12" spans="1:19" ht="14.25" thickBot="1" x14ac:dyDescent="0.3">
      <c r="C12" s="396" t="str">
        <f>IF(O12=1,"Einfassung","")</f>
        <v/>
      </c>
      <c r="D12" s="397"/>
      <c r="E12" s="397"/>
      <c r="F12" s="216"/>
      <c r="G12" s="216"/>
      <c r="H12" s="218"/>
      <c r="I12" s="206" t="str">
        <f>IF(O12=1,"Seite 3","")</f>
        <v/>
      </c>
      <c r="J12" s="191" t="s">
        <v>309</v>
      </c>
      <c r="N12" s="185">
        <f>Bedenken!R28+Bedenken!R29+Bedenken!R30+Bedenken!R31+Bedenken!R32</f>
        <v>0</v>
      </c>
      <c r="O12" s="202">
        <f>Einfassung!L6</f>
        <v>0</v>
      </c>
    </row>
    <row r="13" spans="1:19" ht="14.25" thickBot="1" x14ac:dyDescent="0.3">
      <c r="C13" s="396" t="str">
        <f>IF(O13=1,"Abdeckung","")</f>
        <v/>
      </c>
      <c r="D13" s="397"/>
      <c r="E13" s="397"/>
      <c r="F13" s="207"/>
      <c r="G13" s="207"/>
      <c r="H13" s="208"/>
      <c r="I13" s="206" t="str">
        <f>IF(O13=1,"Seite 3","")</f>
        <v/>
      </c>
      <c r="J13" s="191" t="s">
        <v>309</v>
      </c>
      <c r="N13" s="185">
        <f>Bedenken!R36+Bedenken!R37+Bedenken!R38+Bedenken!R39</f>
        <v>0</v>
      </c>
      <c r="O13" s="202">
        <f>Einfassung!L39</f>
        <v>0</v>
      </c>
    </row>
    <row r="14" spans="1:19" ht="14.25" thickBot="1" x14ac:dyDescent="0.3">
      <c r="C14" s="396" t="str">
        <f>IF(O14&gt;0,Zusammenfassung!N22,"")</f>
        <v/>
      </c>
      <c r="D14" s="397"/>
      <c r="E14" s="397"/>
      <c r="F14" s="398"/>
      <c r="G14" s="398"/>
      <c r="H14" s="399"/>
      <c r="I14" s="206" t="str">
        <f>IF(O14&gt;0,Q22,"")</f>
        <v/>
      </c>
      <c r="J14" s="191" t="s">
        <v>309</v>
      </c>
      <c r="N14" s="185" t="e">
        <f>Bedenken!V42+Bedenken!V43+Bedenken!V44+Bedenken!V45</f>
        <v>#DIV/0!</v>
      </c>
      <c r="O14" s="202">
        <f>P14*O8</f>
        <v>0</v>
      </c>
      <c r="P14" s="185">
        <f>Fundament!B4</f>
        <v>0</v>
      </c>
    </row>
    <row r="15" spans="1:19" ht="14.25" thickBot="1" x14ac:dyDescent="0.3">
      <c r="C15" s="393" t="str">
        <f>IF(P19=1,"Platteneinspannung","")</f>
        <v/>
      </c>
      <c r="D15" s="394"/>
      <c r="E15" s="394"/>
      <c r="F15" s="394"/>
      <c r="G15" s="394"/>
      <c r="H15" s="395"/>
      <c r="I15" s="209" t="str">
        <f>IF(P19=1,"Seite 3","")</f>
        <v/>
      </c>
      <c r="J15" s="191" t="s">
        <v>309</v>
      </c>
    </row>
    <row r="16" spans="1:19" ht="14.25" thickBot="1" x14ac:dyDescent="0.3">
      <c r="C16" s="207"/>
      <c r="D16" s="207"/>
      <c r="E16" s="207"/>
      <c r="F16" s="207"/>
      <c r="G16" s="207"/>
      <c r="H16" s="207"/>
      <c r="I16" s="215"/>
      <c r="J16" s="191"/>
    </row>
    <row r="17" spans="1:26" ht="13.5" x14ac:dyDescent="0.25">
      <c r="C17" s="387" t="str">
        <f>'Grabstein+Sockel'!C40:H40</f>
        <v>Abnahmeprüfung erforderlich</v>
      </c>
      <c r="D17" s="388"/>
      <c r="E17" s="388"/>
      <c r="F17" s="388"/>
      <c r="G17" s="388"/>
      <c r="H17" s="388"/>
      <c r="I17" s="389"/>
      <c r="J17" s="191"/>
      <c r="O17" s="185">
        <f>'Grabstein+Sockel'!H38</f>
        <v>0</v>
      </c>
      <c r="S17">
        <v>0</v>
      </c>
      <c r="T17" s="281" t="s">
        <v>217</v>
      </c>
      <c r="U17" s="281"/>
      <c r="V17" s="281"/>
      <c r="W17" s="59" t="s">
        <v>286</v>
      </c>
      <c r="X17" s="137"/>
      <c r="Y17" s="137"/>
      <c r="Z17" s="137"/>
    </row>
    <row r="18" spans="1:26" ht="14.25" thickBot="1" x14ac:dyDescent="0.3">
      <c r="C18" s="390" t="str">
        <f>'Grabstein+Sockel'!C41:H41</f>
        <v>Last-Zeit-Diagramm einreichen</v>
      </c>
      <c r="D18" s="391"/>
      <c r="E18" s="391"/>
      <c r="F18" s="391"/>
      <c r="G18" s="391"/>
      <c r="H18" s="391"/>
      <c r="I18" s="392"/>
      <c r="J18" s="191"/>
      <c r="S18">
        <v>1</v>
      </c>
      <c r="T18" s="281" t="s">
        <v>218</v>
      </c>
      <c r="U18" s="281"/>
      <c r="V18" s="281"/>
      <c r="W18" s="59" t="s">
        <v>333</v>
      </c>
      <c r="X18" s="137"/>
      <c r="Y18" s="137"/>
      <c r="Z18" s="137"/>
    </row>
    <row r="19" spans="1:26" x14ac:dyDescent="0.2">
      <c r="S19">
        <v>2</v>
      </c>
      <c r="T19" s="281" t="s">
        <v>219</v>
      </c>
      <c r="U19" s="281"/>
      <c r="V19" s="281"/>
      <c r="W19" s="59" t="s">
        <v>333</v>
      </c>
      <c r="X19" s="137"/>
      <c r="Y19" s="137"/>
      <c r="Z19" s="137"/>
    </row>
    <row r="20" spans="1:26" x14ac:dyDescent="0.2">
      <c r="B20" s="302" t="s">
        <v>310</v>
      </c>
      <c r="C20" s="302"/>
      <c r="D20" s="302"/>
      <c r="E20" s="302"/>
      <c r="F20" s="302"/>
      <c r="I20" s="302" t="s">
        <v>311</v>
      </c>
      <c r="J20" s="302"/>
      <c r="K20" s="302"/>
      <c r="L20" s="184"/>
      <c r="M20" s="184"/>
      <c r="S20">
        <v>3</v>
      </c>
      <c r="T20" s="281" t="s">
        <v>272</v>
      </c>
      <c r="U20" s="281"/>
      <c r="V20" s="281"/>
      <c r="W20" s="59" t="s">
        <v>334</v>
      </c>
      <c r="X20" s="137"/>
      <c r="Y20" s="137"/>
      <c r="Z20" s="137"/>
    </row>
    <row r="21" spans="1:26" x14ac:dyDescent="0.2">
      <c r="B21" s="409" t="s">
        <v>312</v>
      </c>
      <c r="C21" s="409"/>
      <c r="D21" s="409"/>
      <c r="E21" s="409"/>
      <c r="F21" s="409"/>
      <c r="I21" s="409" t="s">
        <v>312</v>
      </c>
      <c r="J21" s="409"/>
      <c r="K21" s="409"/>
      <c r="L21" s="192"/>
      <c r="M21" s="192"/>
      <c r="S21">
        <v>4</v>
      </c>
      <c r="T21" s="281" t="s">
        <v>296</v>
      </c>
      <c r="U21" s="281"/>
      <c r="V21" s="281"/>
      <c r="W21" s="59" t="s">
        <v>335</v>
      </c>
      <c r="X21" s="137"/>
      <c r="Y21" s="137"/>
      <c r="Z21" s="137"/>
    </row>
    <row r="22" spans="1:26" ht="13.5" x14ac:dyDescent="0.25">
      <c r="B22" s="192"/>
      <c r="C22" s="192"/>
      <c r="D22" s="192"/>
      <c r="E22" s="192"/>
      <c r="F22" s="192"/>
      <c r="H22" s="26">
        <f>IF(J22="",1,0)</f>
        <v>1</v>
      </c>
      <c r="I22" s="193" t="s">
        <v>313</v>
      </c>
      <c r="J22" s="411"/>
      <c r="K22" s="411"/>
      <c r="L22" s="184"/>
      <c r="M22" s="200" t="s">
        <v>336</v>
      </c>
      <c r="N22" s="348" t="str">
        <f>VLOOKUP(P14,S17:X24,2)</f>
        <v>Keine Gründung</v>
      </c>
      <c r="O22" s="348"/>
      <c r="P22" s="348"/>
      <c r="Q22" s="185" t="str">
        <f>VLOOKUP(P14,S17:W22,5)</f>
        <v xml:space="preserve"> </v>
      </c>
      <c r="S22">
        <v>5</v>
      </c>
      <c r="T22" s="281" t="s">
        <v>370</v>
      </c>
      <c r="U22" s="281"/>
      <c r="V22" s="281"/>
      <c r="W22" s="59" t="s">
        <v>371</v>
      </c>
      <c r="X22" s="137"/>
      <c r="Y22" s="137"/>
      <c r="Z22" s="137"/>
    </row>
    <row r="23" spans="1:26" ht="13.5" x14ac:dyDescent="0.25">
      <c r="A23" s="26">
        <f>IF(D23="",1,0)</f>
        <v>1</v>
      </c>
      <c r="B23" s="412" t="s">
        <v>314</v>
      </c>
      <c r="C23" s="412"/>
      <c r="D23" s="411"/>
      <c r="E23" s="411"/>
      <c r="F23" s="411"/>
      <c r="H23" s="26">
        <f>IF(J23="",1,0)</f>
        <v>1</v>
      </c>
      <c r="I23" s="193" t="s">
        <v>314</v>
      </c>
      <c r="J23" s="411"/>
      <c r="K23" s="411"/>
      <c r="L23" s="184"/>
      <c r="M23" s="200" t="s">
        <v>337</v>
      </c>
      <c r="S23">
        <v>6</v>
      </c>
      <c r="T23" t="s">
        <v>372</v>
      </c>
      <c r="W23" s="59" t="s">
        <v>371</v>
      </c>
    </row>
    <row r="24" spans="1:26" ht="13.5" x14ac:dyDescent="0.25">
      <c r="A24" s="26">
        <f>IF(D24="",1,0)</f>
        <v>1</v>
      </c>
      <c r="B24" s="412" t="s">
        <v>315</v>
      </c>
      <c r="C24" s="412"/>
      <c r="D24" s="411"/>
      <c r="E24" s="411"/>
      <c r="F24" s="411"/>
      <c r="H24" s="26">
        <f>IF(J24="",1,0)</f>
        <v>1</v>
      </c>
      <c r="I24" s="193" t="s">
        <v>315</v>
      </c>
      <c r="J24" s="411"/>
      <c r="K24" s="411"/>
      <c r="L24" s="184"/>
      <c r="M24" s="184"/>
      <c r="S24">
        <v>7</v>
      </c>
      <c r="T24" t="s">
        <v>220</v>
      </c>
      <c r="W24" s="59" t="s">
        <v>332</v>
      </c>
    </row>
    <row r="25" spans="1:26" x14ac:dyDescent="0.2">
      <c r="A25" s="2"/>
      <c r="B25" s="194"/>
      <c r="C25" s="194"/>
      <c r="H25" s="26"/>
      <c r="I25" s="193"/>
      <c r="L25" s="184"/>
      <c r="M25" s="184"/>
    </row>
    <row r="26" spans="1:26" ht="15.75" x14ac:dyDescent="0.25">
      <c r="A26" s="2"/>
      <c r="B26" s="195" t="s">
        <v>316</v>
      </c>
      <c r="H26" s="26">
        <f>IF(J26="",1,0)</f>
        <v>1</v>
      </c>
      <c r="I26" s="196" t="s">
        <v>317</v>
      </c>
      <c r="J26" s="413"/>
      <c r="K26" s="414"/>
      <c r="L26" s="184"/>
      <c r="M26" s="184"/>
    </row>
    <row r="27" spans="1:26" ht="15.75" x14ac:dyDescent="0.25">
      <c r="A27" s="13"/>
      <c r="B27" s="410"/>
      <c r="C27" s="410"/>
      <c r="D27" s="410"/>
      <c r="E27" s="410"/>
      <c r="F27" s="410"/>
      <c r="H27" s="26"/>
      <c r="I27" s="196" t="s">
        <v>318</v>
      </c>
      <c r="J27" s="196" t="s">
        <v>319</v>
      </c>
      <c r="K27" s="26">
        <f>IF(J28="",1,0)</f>
        <v>1</v>
      </c>
      <c r="L27" s="184"/>
      <c r="M27" s="184"/>
    </row>
    <row r="28" spans="1:26" ht="13.5" x14ac:dyDescent="0.25">
      <c r="A28" s="13"/>
      <c r="B28" s="410"/>
      <c r="C28" s="410"/>
      <c r="D28" s="410"/>
      <c r="E28" s="410"/>
      <c r="F28" s="410"/>
      <c r="G28" s="13"/>
      <c r="H28" s="26">
        <f>IF(I28="",1,0)</f>
        <v>1</v>
      </c>
      <c r="I28" s="197"/>
      <c r="J28" s="411"/>
      <c r="K28" s="411"/>
      <c r="L28" s="184"/>
      <c r="M28" s="184"/>
    </row>
    <row r="29" spans="1:26" ht="13.5" x14ac:dyDescent="0.25">
      <c r="A29" s="13"/>
      <c r="B29" s="410"/>
      <c r="C29" s="410"/>
      <c r="D29" s="410"/>
      <c r="E29" s="410"/>
      <c r="F29" s="410"/>
      <c r="H29" s="2">
        <f>IF(J28="",1,0)</f>
        <v>1</v>
      </c>
      <c r="I29" s="196" t="s">
        <v>320</v>
      </c>
      <c r="J29" s="415"/>
      <c r="K29" s="415"/>
      <c r="L29" s="184"/>
      <c r="M29" s="184"/>
    </row>
    <row r="30" spans="1:26" ht="13.5" x14ac:dyDescent="0.25">
      <c r="A30" s="13"/>
      <c r="B30" s="410"/>
      <c r="C30" s="410"/>
      <c r="D30" s="410"/>
      <c r="E30" s="410"/>
      <c r="F30" s="410"/>
      <c r="H30" s="2"/>
      <c r="I30" s="196" t="s">
        <v>321</v>
      </c>
      <c r="J30" s="416"/>
      <c r="K30" s="416"/>
      <c r="L30" s="184"/>
      <c r="M30" s="184"/>
    </row>
    <row r="31" spans="1:26" ht="13.5" x14ac:dyDescent="0.25">
      <c r="A31" s="2"/>
      <c r="B31" s="417" t="s">
        <v>322</v>
      </c>
      <c r="C31" s="417"/>
      <c r="D31" s="418" t="s">
        <v>323</v>
      </c>
      <c r="E31" s="418"/>
      <c r="F31" s="418"/>
      <c r="H31" s="2">
        <f>SUM(H22:H30)*O20</f>
        <v>0</v>
      </c>
      <c r="J31" s="419" t="s">
        <v>17</v>
      </c>
      <c r="K31" s="419"/>
      <c r="L31" s="214"/>
      <c r="M31" s="214"/>
    </row>
    <row r="32" spans="1:26" ht="13.5" x14ac:dyDescent="0.25">
      <c r="A32" s="2"/>
      <c r="B32" s="420"/>
      <c r="C32" s="421"/>
      <c r="D32" s="422"/>
      <c r="E32" s="423"/>
      <c r="F32" s="424"/>
    </row>
    <row r="33" spans="1:13" ht="13.5" x14ac:dyDescent="0.25">
      <c r="A33" s="2"/>
      <c r="B33" s="418" t="s">
        <v>320</v>
      </c>
      <c r="C33" s="418"/>
      <c r="D33" s="425"/>
      <c r="E33" s="425"/>
      <c r="F33" s="425"/>
    </row>
    <row r="34" spans="1:13" ht="13.5" x14ac:dyDescent="0.25">
      <c r="A34" s="2"/>
      <c r="B34" s="417" t="s">
        <v>321</v>
      </c>
      <c r="C34" s="417"/>
      <c r="D34" s="411"/>
      <c r="E34" s="411"/>
      <c r="F34" s="411"/>
    </row>
    <row r="35" spans="1:13" ht="13.5" x14ac:dyDescent="0.25">
      <c r="A35" s="2"/>
      <c r="B35" s="417" t="s">
        <v>324</v>
      </c>
      <c r="C35" s="417"/>
      <c r="D35" s="411"/>
      <c r="E35" s="411"/>
      <c r="F35" s="411"/>
    </row>
    <row r="36" spans="1:13" x14ac:dyDescent="0.2">
      <c r="A36" s="2">
        <f>SUM(A23:A35)*O20</f>
        <v>0</v>
      </c>
      <c r="D36" s="427" t="s">
        <v>17</v>
      </c>
      <c r="E36" s="427"/>
      <c r="F36" s="427"/>
    </row>
    <row r="37" spans="1:13" x14ac:dyDescent="0.2">
      <c r="B37" s="428"/>
      <c r="C37" s="428"/>
      <c r="D37" s="428"/>
      <c r="E37" s="428"/>
      <c r="F37" s="428"/>
    </row>
    <row r="38" spans="1:13" x14ac:dyDescent="0.2">
      <c r="B38" s="428"/>
      <c r="C38" s="428"/>
      <c r="D38" s="428"/>
      <c r="E38" s="428"/>
      <c r="F38" s="428"/>
    </row>
    <row r="39" spans="1:13" x14ac:dyDescent="0.2">
      <c r="B39" s="428"/>
      <c r="C39" s="428"/>
      <c r="D39" s="428"/>
      <c r="E39" s="428"/>
      <c r="F39" s="428"/>
    </row>
    <row r="40" spans="1:13" x14ac:dyDescent="0.2">
      <c r="B40" s="428"/>
      <c r="C40" s="428"/>
      <c r="D40" s="428"/>
      <c r="E40" s="428"/>
      <c r="F40" s="428"/>
    </row>
    <row r="41" spans="1:13" x14ac:dyDescent="0.2">
      <c r="B41" s="428"/>
      <c r="C41" s="428"/>
      <c r="D41" s="428"/>
      <c r="E41" s="428"/>
      <c r="F41" s="428"/>
    </row>
    <row r="42" spans="1:13" ht="14.25" x14ac:dyDescent="0.2">
      <c r="B42" s="429" t="s">
        <v>325</v>
      </c>
      <c r="C42" s="429"/>
      <c r="D42" s="429"/>
      <c r="E42" s="429"/>
      <c r="F42" s="429"/>
    </row>
    <row r="43" spans="1:13" ht="14.25" x14ac:dyDescent="0.2">
      <c r="B43" s="199"/>
      <c r="C43" s="199"/>
      <c r="D43" s="199"/>
      <c r="E43" s="199"/>
      <c r="F43" s="199"/>
    </row>
    <row r="44" spans="1:13" ht="13.5" x14ac:dyDescent="0.25">
      <c r="B44" s="417" t="s">
        <v>326</v>
      </c>
      <c r="C44" s="417"/>
      <c r="D44" s="417"/>
      <c r="E44" s="417"/>
      <c r="F44" s="417"/>
      <c r="G44" s="417"/>
      <c r="H44" s="417"/>
      <c r="I44" s="417"/>
      <c r="J44" s="417"/>
      <c r="K44" s="417"/>
      <c r="L44" s="198"/>
      <c r="M44" s="198"/>
    </row>
    <row r="45" spans="1:13" ht="13.5" x14ac:dyDescent="0.25">
      <c r="B45" s="417" t="s">
        <v>327</v>
      </c>
      <c r="C45" s="417"/>
      <c r="D45" s="417"/>
      <c r="E45" s="417"/>
      <c r="F45" s="417"/>
      <c r="G45" s="417"/>
      <c r="H45" s="417"/>
      <c r="I45" s="417"/>
      <c r="J45" s="417"/>
      <c r="K45" s="417"/>
      <c r="L45" s="198"/>
      <c r="M45" s="198"/>
    </row>
    <row r="46" spans="1:13" ht="13.5" x14ac:dyDescent="0.25">
      <c r="B46" s="417" t="s">
        <v>328</v>
      </c>
      <c r="C46" s="417"/>
      <c r="D46" s="417"/>
      <c r="E46" s="417"/>
      <c r="F46" s="417"/>
      <c r="G46" s="417"/>
      <c r="H46" s="417"/>
      <c r="I46" s="417"/>
      <c r="J46" s="417"/>
      <c r="K46" s="417"/>
      <c r="L46" s="198"/>
      <c r="M46" s="198"/>
    </row>
    <row r="48" spans="1:13" x14ac:dyDescent="0.2">
      <c r="B48" s="90" t="s">
        <v>329</v>
      </c>
      <c r="C48" s="430"/>
      <c r="D48" s="431"/>
    </row>
    <row r="49" spans="2:10" x14ac:dyDescent="0.2">
      <c r="B49" s="432" t="s">
        <v>330</v>
      </c>
      <c r="C49" s="432"/>
      <c r="D49" s="432"/>
      <c r="E49" s="432"/>
      <c r="I49" s="432" t="s">
        <v>330</v>
      </c>
      <c r="J49" s="432"/>
    </row>
    <row r="50" spans="2:10" ht="13.5" thickBot="1" x14ac:dyDescent="0.25">
      <c r="B50" s="433"/>
      <c r="C50" s="433"/>
      <c r="D50" s="433"/>
      <c r="E50" s="433"/>
      <c r="I50" s="433"/>
      <c r="J50" s="433"/>
    </row>
    <row r="51" spans="2:10" ht="14.25" x14ac:dyDescent="0.2">
      <c r="B51" s="426" t="s">
        <v>310</v>
      </c>
      <c r="C51" s="426"/>
      <c r="D51" s="426"/>
      <c r="E51" s="426"/>
      <c r="I51" s="426" t="s">
        <v>311</v>
      </c>
      <c r="J51" s="426"/>
    </row>
  </sheetData>
  <sheetProtection password="9453" sheet="1" objects="1" scenarios="1" selectLockedCells="1"/>
  <mergeCells count="73">
    <mergeCell ref="B51:E51"/>
    <mergeCell ref="I51:J51"/>
    <mergeCell ref="B35:C35"/>
    <mergeCell ref="D35:F35"/>
    <mergeCell ref="D36:F36"/>
    <mergeCell ref="B37:F41"/>
    <mergeCell ref="B42:F42"/>
    <mergeCell ref="B44:K44"/>
    <mergeCell ref="B45:K45"/>
    <mergeCell ref="B46:K46"/>
    <mergeCell ref="C48:D48"/>
    <mergeCell ref="B49:E50"/>
    <mergeCell ref="I49:J50"/>
    <mergeCell ref="B32:C32"/>
    <mergeCell ref="D32:F32"/>
    <mergeCell ref="B33:C33"/>
    <mergeCell ref="D33:F33"/>
    <mergeCell ref="B34:C34"/>
    <mergeCell ref="D34:F34"/>
    <mergeCell ref="B29:F29"/>
    <mergeCell ref="J29:K29"/>
    <mergeCell ref="B30:F30"/>
    <mergeCell ref="J30:K30"/>
    <mergeCell ref="B31:C31"/>
    <mergeCell ref="D31:F31"/>
    <mergeCell ref="J31:K31"/>
    <mergeCell ref="B28:F28"/>
    <mergeCell ref="J28:K28"/>
    <mergeCell ref="B20:F20"/>
    <mergeCell ref="I20:K20"/>
    <mergeCell ref="B21:F21"/>
    <mergeCell ref="I21:K21"/>
    <mergeCell ref="J22:K22"/>
    <mergeCell ref="B23:C23"/>
    <mergeCell ref="D23:F23"/>
    <mergeCell ref="J23:K23"/>
    <mergeCell ref="B24:C24"/>
    <mergeCell ref="D24:F24"/>
    <mergeCell ref="J24:K24"/>
    <mergeCell ref="J26:K26"/>
    <mergeCell ref="B27:F27"/>
    <mergeCell ref="C11:E11"/>
    <mergeCell ref="C12:E12"/>
    <mergeCell ref="C13:E13"/>
    <mergeCell ref="C14:E14"/>
    <mergeCell ref="F14:H14"/>
    <mergeCell ref="J1:K1"/>
    <mergeCell ref="J2:K2"/>
    <mergeCell ref="B1:I1"/>
    <mergeCell ref="B2:I2"/>
    <mergeCell ref="C8:G8"/>
    <mergeCell ref="C4:G4"/>
    <mergeCell ref="G5:H5"/>
    <mergeCell ref="I5:K5"/>
    <mergeCell ref="I6:K6"/>
    <mergeCell ref="G6:H6"/>
    <mergeCell ref="H4:J4"/>
    <mergeCell ref="N22:P22"/>
    <mergeCell ref="C5:F5"/>
    <mergeCell ref="C6:F6"/>
    <mergeCell ref="T17:V17"/>
    <mergeCell ref="T18:V18"/>
    <mergeCell ref="T19:V19"/>
    <mergeCell ref="T20:V20"/>
    <mergeCell ref="T21:V21"/>
    <mergeCell ref="T22:V22"/>
    <mergeCell ref="C9:D9"/>
    <mergeCell ref="C17:I17"/>
    <mergeCell ref="C18:I18"/>
    <mergeCell ref="C15:E15"/>
    <mergeCell ref="F15:H15"/>
    <mergeCell ref="C10:E10"/>
    <mergeCell ref="F10:H10"/>
  </mergeCells>
  <conditionalFormatting sqref="B48">
    <cfRule type="expression" dxfId="19" priority="47" stopIfTrue="1">
      <formula>P1048360=1</formula>
    </cfRule>
  </conditionalFormatting>
  <conditionalFormatting sqref="C17:I18">
    <cfRule type="expression" dxfId="18" priority="26">
      <formula>$O$17=300</formula>
    </cfRule>
    <cfRule type="expression" dxfId="17" priority="27">
      <formula>$O$17=500</formula>
    </cfRule>
    <cfRule type="expression" dxfId="16" priority="14">
      <formula>$O$17=200</formula>
    </cfRule>
  </conditionalFormatting>
  <conditionalFormatting sqref="J31:M31">
    <cfRule type="expression" dxfId="15" priority="55" stopIfTrue="1">
      <formula>$I$247&gt;0</formula>
    </cfRule>
  </conditionalFormatting>
  <conditionalFormatting sqref="D36:F36">
    <cfRule type="expression" dxfId="14" priority="56" stopIfTrue="1">
      <formula>$B$252&gt;0</formula>
    </cfRule>
  </conditionalFormatting>
  <conditionalFormatting sqref="J9">
    <cfRule type="expression" dxfId="13" priority="18">
      <formula>$N$9&gt;0</formula>
    </cfRule>
  </conditionalFormatting>
  <conditionalFormatting sqref="J10">
    <cfRule type="expression" dxfId="12" priority="17">
      <formula>$N$10&gt;0</formula>
    </cfRule>
  </conditionalFormatting>
  <conditionalFormatting sqref="J12">
    <cfRule type="expression" dxfId="11" priority="13">
      <formula>$M$12+$N$12&gt;0</formula>
    </cfRule>
  </conditionalFormatting>
  <conditionalFormatting sqref="J13">
    <cfRule type="expression" dxfId="10" priority="12">
      <formula>$M$13+$N$13&gt;0</formula>
    </cfRule>
  </conditionalFormatting>
  <conditionalFormatting sqref="J11">
    <cfRule type="expression" dxfId="9" priority="11">
      <formula>$N$11&gt;0</formula>
    </cfRule>
  </conditionalFormatting>
  <conditionalFormatting sqref="J14">
    <cfRule type="expression" dxfId="8" priority="10">
      <formula>$N$14&gt;0</formula>
    </cfRule>
  </conditionalFormatting>
  <conditionalFormatting sqref="J22:K22">
    <cfRule type="expression" dxfId="7" priority="9">
      <formula>$H$22=1</formula>
    </cfRule>
  </conditionalFormatting>
  <conditionalFormatting sqref="J23:K23">
    <cfRule type="expression" dxfId="6" priority="8">
      <formula>$H$23=1</formula>
    </cfRule>
  </conditionalFormatting>
  <conditionalFormatting sqref="J24:K24">
    <cfRule type="expression" dxfId="5" priority="7">
      <formula>$H$24=1</formula>
    </cfRule>
  </conditionalFormatting>
  <conditionalFormatting sqref="J26:K26">
    <cfRule type="expression" dxfId="4" priority="5">
      <formula>$H$26=1</formula>
    </cfRule>
  </conditionalFormatting>
  <conditionalFormatting sqref="I28">
    <cfRule type="expression" dxfId="3" priority="4">
      <formula>$H$28=1</formula>
    </cfRule>
  </conditionalFormatting>
  <conditionalFormatting sqref="J28:K28">
    <cfRule type="expression" dxfId="2" priority="3">
      <formula>$K$27=1</formula>
    </cfRule>
  </conditionalFormatting>
  <conditionalFormatting sqref="D23:F23">
    <cfRule type="expression" dxfId="1" priority="2">
      <formula>$A$23=1</formula>
    </cfRule>
  </conditionalFormatting>
  <conditionalFormatting sqref="D24:F24">
    <cfRule type="expression" dxfId="0" priority="1">
      <formula>$A$24=1</formula>
    </cfRule>
  </conditionalFormatting>
  <dataValidations count="1">
    <dataValidation type="list" allowBlank="1" showInputMessage="1" showErrorMessage="1" promptTitle="Anrede" prompt="wählen" sqref="J22:K22">
      <formula1>$M$22:$M$23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12"/>
  </sheetPr>
  <dimension ref="A96:J101"/>
  <sheetViews>
    <sheetView showGridLines="0" zoomScale="115" zoomScaleNormal="115" workbookViewId="0">
      <selection activeCell="A98" sqref="A98:XFD101"/>
    </sheetView>
  </sheetViews>
  <sheetFormatPr baseColWidth="10" defaultRowHeight="12.75" x14ac:dyDescent="0.2"/>
  <cols>
    <col min="1" max="1" width="9.5703125" customWidth="1"/>
    <col min="2" max="2" width="8.140625" customWidth="1"/>
  </cols>
  <sheetData>
    <row r="96" ht="13.5" customHeight="1" x14ac:dyDescent="0.2"/>
    <row r="97" spans="1:10" s="25" customFormat="1" x14ac:dyDescent="0.2"/>
    <row r="98" spans="1:10" s="25" customFormat="1" hidden="1" x14ac:dyDescent="0.2">
      <c r="A98" s="25">
        <f>A99</f>
        <v>1</v>
      </c>
      <c r="B98" s="25" t="str">
        <f>MID((FIXED(ROUNDDOWN((B99+10000),0),0,TRUE)),2,4)</f>
        <v>1903</v>
      </c>
      <c r="C98" s="25" t="str">
        <f>MID((FIXED(ROUNDDOWN((C99+1000),0),0,TRUE)),2,3)</f>
        <v>072</v>
      </c>
      <c r="D98" s="25" t="str">
        <f>CONCATENATE(A98,B98,C98)</f>
        <v>11903072</v>
      </c>
      <c r="G98" s="25" t="s">
        <v>99</v>
      </c>
      <c r="H98" s="30">
        <v>43541</v>
      </c>
    </row>
    <row r="99" spans="1:10" s="25" customFormat="1" hidden="1" x14ac:dyDescent="0.2">
      <c r="A99" s="277">
        <v>1</v>
      </c>
      <c r="B99" s="277">
        <v>1903</v>
      </c>
      <c r="C99" s="277">
        <v>72</v>
      </c>
    </row>
    <row r="100" spans="1:10" s="25" customFormat="1" hidden="1" x14ac:dyDescent="0.2">
      <c r="A100" s="434" t="s">
        <v>395</v>
      </c>
      <c r="B100" s="434"/>
      <c r="C100" s="434"/>
      <c r="D100" s="434"/>
      <c r="E100" s="434"/>
      <c r="F100" s="434"/>
      <c r="G100" s="435" t="s">
        <v>397</v>
      </c>
      <c r="H100" s="435"/>
      <c r="I100" s="25" t="s">
        <v>375</v>
      </c>
      <c r="J100" s="25" t="str">
        <f>CONCATENATE(I100,G100)</f>
        <v>Tel.: 06074 911360</v>
      </c>
    </row>
    <row r="101" spans="1:10" s="25" customFormat="1" hidden="1" x14ac:dyDescent="0.2">
      <c r="A101" s="434" t="s">
        <v>396</v>
      </c>
      <c r="B101" s="434"/>
      <c r="C101" s="434"/>
      <c r="D101" s="434"/>
      <c r="E101" s="434"/>
      <c r="F101" s="434"/>
      <c r="G101" s="435" t="s">
        <v>398</v>
      </c>
      <c r="H101" s="435"/>
      <c r="I101" s="25" t="s">
        <v>374</v>
      </c>
      <c r="J101" s="25" t="str">
        <f>CONCATENATE(I101,G101)</f>
        <v>Fax: 06074 91 11 360</v>
      </c>
    </row>
  </sheetData>
  <sheetProtection password="9453" sheet="1" objects="1" scenarios="1" selectLockedCells="1"/>
  <mergeCells count="4">
    <mergeCell ref="A100:F100"/>
    <mergeCell ref="A101:F101"/>
    <mergeCell ref="G100:H100"/>
    <mergeCell ref="G101:H101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Grabstein+Sockel</vt:lpstr>
      <vt:lpstr>Einfassung</vt:lpstr>
      <vt:lpstr>Fundament</vt:lpstr>
      <vt:lpstr>Bedenken</vt:lpstr>
      <vt:lpstr>Zusammenfassung</vt:lpstr>
      <vt:lpstr>Lizenznehmer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Stein</dc:creator>
  <cp:lastModifiedBy>Gotta, Sabine</cp:lastModifiedBy>
  <cp:lastPrinted>2019-03-09T08:01:09Z</cp:lastPrinted>
  <dcterms:created xsi:type="dcterms:W3CDTF">2009-06-09T16:08:20Z</dcterms:created>
  <dcterms:modified xsi:type="dcterms:W3CDTF">2019-03-28T10:31:48Z</dcterms:modified>
</cp:coreProperties>
</file>